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806" activeTab="2"/>
  </bookViews>
  <sheets>
    <sheet name="Instructions" sheetId="1" r:id="rId1"/>
    <sheet name="Functional Schematic" sheetId="2" r:id="rId2"/>
    <sheet name="Design Information" sheetId="3" r:id="rId3"/>
    <sheet name="Figure of T1 Current" sheetId="4" r:id="rId4"/>
    <sheet name="TABSET Valley Switching" sheetId="5" r:id="rId5"/>
    <sheet name="TCDSET Valley Switching" sheetId="6" r:id="rId6"/>
    <sheet name="Voltage Loop" sheetId="7" state="hidden" r:id="rId7"/>
    <sheet name="Standard R and C Look Up Table" sheetId="8" state="hidden" r:id="rId8"/>
  </sheets>
  <externalReferences>
    <externalReference r:id="rId11"/>
  </externalReferences>
  <definedNames>
    <definedName name="C_enter">'Standard R and C Look Up Table'!$K$2</definedName>
    <definedName name="C_f1">'Standard R and C Look Up Table'!$K$17</definedName>
    <definedName name="C_f2">'Standard R and C Look Up Table'!$K$24</definedName>
    <definedName name="c_s1">'Standard R and C Look Up Table'!$J$6</definedName>
    <definedName name="C_s2">'Standard R and C Look Up Table'!$J$19</definedName>
    <definedName name="Center">'Standard R and C Look Up Table'!$K$2</definedName>
    <definedName name="constant">'Design Information'!$C$132</definedName>
    <definedName name="cossqaavg">'Design Information'!$C$56</definedName>
    <definedName name="cossqaspec">'Design Information'!$C$53</definedName>
    <definedName name="cossqeavg">'Design Information'!$C$90</definedName>
    <definedName name="cout">'Design Information'!$C$80</definedName>
    <definedName name="Cp">'Design Information'!$C$151</definedName>
    <definedName name="CPC">'[1]Design Information'!$C$87</definedName>
    <definedName name="Cstandard">'Standard R and C Look Up Table'!$K$3</definedName>
    <definedName name="Cz">'Design Information'!$C$146</definedName>
    <definedName name="CZC">'[1]Design Information'!$C$85</definedName>
    <definedName name="d2a">'Design Information'!$C$135</definedName>
    <definedName name="dclamp">'Design Information'!$C$102</definedName>
    <definedName name="dcrlout">'Design Information'!$C$69</definedName>
    <definedName name="dcrp">'Design Information'!$C$45</definedName>
    <definedName name="dcrs">'Design Information'!$C$46</definedName>
    <definedName name="dilmag">'Design Information'!$C$37</definedName>
    <definedName name="dilout">'Design Information'!$C$28</definedName>
    <definedName name="dmax">'Design Information'!$C$24</definedName>
    <definedName name="dtyp">'Design Information'!$C$27</definedName>
    <definedName name="E12_f">'Standard R and C Look Up Table'!$F$21</definedName>
    <definedName name="E12_s">'Standard R and C Look Up Table'!$E$10</definedName>
    <definedName name="E24_f">'Standard R and C Look Up Table'!$F$46</definedName>
    <definedName name="E24_s">'Standard R and C Look Up Table'!$E$23</definedName>
    <definedName name="E48_f">'Standard R and C Look Up Table'!$F$95</definedName>
    <definedName name="E48_s">'Standard R and C Look Up Table'!$E$48</definedName>
    <definedName name="E6_f">'Standard R and C Look Up Table'!$F$8</definedName>
    <definedName name="E6_s">'Standard R and C Look Up Table'!$E$3</definedName>
    <definedName name="E96_f">'Standard R and C Look Up Table'!$H$98</definedName>
    <definedName name="E96_s">'Standard R and C Look Up Table'!$G$3</definedName>
    <definedName name="Eff">'Design Information'!$B$17</definedName>
    <definedName name="esrcout">'Design Information'!$C$81</definedName>
    <definedName name="fc">'Design Information'!$C$130</definedName>
    <definedName name="fpp">'Design Information'!$C$129</definedName>
    <definedName name="fs">'Design Information'!$C$18</definedName>
    <definedName name="iloutrms">'Design Information'!$C$67</definedName>
    <definedName name="imp">'Design Information'!$C$39</definedName>
    <definedName name="imp2">'Design Information'!$C$40</definedName>
    <definedName name="ims">'Design Information'!$C$31</definedName>
    <definedName name="ims2">'Design Information'!$C$32</definedName>
    <definedName name="ipp">'Design Information'!$C$38</definedName>
    <definedName name="ipp1">'Design Information'!$C$112</definedName>
    <definedName name="iprms">'Design Information'!$C$43</definedName>
    <definedName name="iprms1">'Design Information'!$C$41</definedName>
    <definedName name="iprms2">'Design Information'!$C$42</definedName>
    <definedName name="ips">'Design Information'!$C$30</definedName>
    <definedName name="isrms">'Design Information'!$C$36</definedName>
    <definedName name="isrms1">'Design Information'!$C$33</definedName>
    <definedName name="isrms2">'Design Information'!$C$34</definedName>
    <definedName name="isrms3">'Design Information'!$C$35</definedName>
    <definedName name="LAVG">'[1]Design Information'!$C$29</definedName>
    <definedName name="llk">'Design Information'!$C$47</definedName>
    <definedName name="lmag">'Design Information'!$C$29</definedName>
    <definedName name="lmag1">'Design Information'!$C$29</definedName>
    <definedName name="lmag2">'Design Information'!$C$44</definedName>
    <definedName name="lout">'Design Information'!$C$68</definedName>
    <definedName name="ls">'Design Information'!$C$61</definedName>
    <definedName name="n1divd1">'Design Information'!$C$134</definedName>
    <definedName name="NCT">'[1]Design Information'!$C$40</definedName>
    <definedName name="pbudget">'Design Information'!$C$22</definedName>
    <definedName name="pout">'Design Information'!$D$16</definedName>
    <definedName name="QAg">'Design Information'!$C$54</definedName>
    <definedName name="qeg">'Design Information'!$C$86</definedName>
    <definedName name="rdsonqa">'Design Information'!$C$52</definedName>
    <definedName name="rdsonqe">'Design Information'!$C$87</definedName>
    <definedName name="rf">'Design Information'!$C$141</definedName>
    <definedName name="RII">'Design Information'!$C$128</definedName>
    <definedName name="rload">'Design Information'!$C$131</definedName>
    <definedName name="RS">'Design Information'!$C$115</definedName>
    <definedName name="RZC">'[1]Design Information'!$C$83</definedName>
    <definedName name="st1">'Design Information'!#REF!</definedName>
    <definedName name="st10">'Standard R and C Look Up Table'!#REF!</definedName>
    <definedName name="st11">'Standard R and C Look Up Table'!#REF!</definedName>
    <definedName name="st12">'Standard R and C Look Up Table'!#REF!</definedName>
    <definedName name="st13">'Standard R and C Look Up Table'!#REF!</definedName>
    <definedName name="st14">'Standard R and C Look Up Table'!#REF!</definedName>
    <definedName name="st15">'Standard R and C Look Up Table'!#REF!</definedName>
    <definedName name="st16">'Standard R and C Look Up Table'!#REF!</definedName>
    <definedName name="st17">'Standard R and C Look Up Table'!#REF!</definedName>
    <definedName name="st18">'Standard R and C Look Up Table'!#REF!</definedName>
    <definedName name="st2">'Design Information'!#REF!</definedName>
    <definedName name="st3">'Standard R and C Look Up Table'!#REF!</definedName>
    <definedName name="st4">'Standard R and C Look Up Table'!#REF!</definedName>
    <definedName name="st5">'Standard R and C Look Up Table'!#REF!</definedName>
    <definedName name="st6">'Standard R and C Look Up Table'!#REF!</definedName>
    <definedName name="st7">'Standard R and C Look Up Table'!#REF!</definedName>
    <definedName name="st8">'Standard R and C Look Up Table'!#REF!</definedName>
    <definedName name="st9">'Standard R and C Look Up Table'!#REF!</definedName>
    <definedName name="sta">'Standard R and C Look Up Table'!$L$6</definedName>
    <definedName name="stb">'Standard R and C Look Up Table'!$L$19</definedName>
    <definedName name="std">'Design Information'!#REF!</definedName>
    <definedName name="std2">'Design Information'!#REF!</definedName>
    <definedName name="ta1">'Design Information'!$C$25</definedName>
    <definedName name="ta11">'Design Information'!$C$25</definedName>
    <definedName name="ta2">'Design Information'!$C$111</definedName>
    <definedName name="taa1">'Design Information'!$C$26</definedName>
    <definedName name="tabset">'Design Information'!$C$182</definedName>
    <definedName name="tafset">'Design Information'!$C$200</definedName>
    <definedName name="tcdset">'Design Information'!$C$194</definedName>
    <definedName name="tdelay">'Design Information'!$C$100</definedName>
    <definedName name="temp">#REF!</definedName>
    <definedName name="thu">'Design Information'!$C$73</definedName>
    <definedName name="tr">'Design Information'!$C$95</definedName>
    <definedName name="va1">'Design Information'!$C$120</definedName>
    <definedName name="vadel">'Design Information'!$C$188</definedName>
    <definedName name="vdsqe">'Design Information'!$C$85</definedName>
    <definedName name="vg">'Design Information'!$C$51</definedName>
    <definedName name="vin">'Design Information'!$C$13</definedName>
    <definedName name="vinerror">'Design Information'!#REF!</definedName>
    <definedName name="VINMAX">'Design Information'!$D$13</definedName>
    <definedName name="VINMIAX">'Design Information'!$D$13</definedName>
    <definedName name="VINMIN">'Design Information'!$B$13</definedName>
    <definedName name="VOUT">'Design Information'!$C$14</definedName>
    <definedName name="voutmin">'Design Information'!$B$14</definedName>
    <definedName name="vrdson">'Design Information'!$C$23</definedName>
    <definedName name="Vslope1">'Design Information'!$C$221</definedName>
    <definedName name="Vslope2">'Design Information'!$C$222</definedName>
    <definedName name="VTRAN">'Design Information'!$D$15</definedName>
  </definedNames>
  <calcPr fullCalcOnLoad="1"/>
</workbook>
</file>

<file path=xl/sharedStrings.xml><?xml version="1.0" encoding="utf-8"?>
<sst xmlns="http://schemas.openxmlformats.org/spreadsheetml/2006/main" count="617" uniqueCount="339">
  <si>
    <t>UCC28950 Design Calculator</t>
  </si>
  <si>
    <t>This spreadsheet guides the User through the design process for a CONTINUOUS CONDUCTION MODE PFC BOOST converter using the UCC28019 controller.</t>
  </si>
  <si>
    <t>1. The Macros must be ENABLED.</t>
  </si>
  <si>
    <t>2. The Analysis ToolPak Add-In must be checked.</t>
  </si>
  <si>
    <t>• This feature can be found in the Tools Menu.</t>
  </si>
  <si>
    <t>• Select Add-Ins</t>
  </si>
  <si>
    <t>• Check the box next to Analysis ToolPak</t>
  </si>
  <si>
    <t>3. Enter the desired design parameters in the YELLOW shaded boxes</t>
  </si>
  <si>
    <t>4. The spreadsheet will calculate the ideal values and display the results in red type.</t>
  </si>
  <si>
    <t>5. Actual standard values must be entered for the spreadsheet to calculate the gain-phase plots.</t>
  </si>
  <si>
    <t>6. Note this design tool was generated to accompany application report     SLUA560</t>
  </si>
  <si>
    <t xml:space="preserve"> </t>
  </si>
  <si>
    <t>UCC28950 Excel Design Tool</t>
  </si>
  <si>
    <t>Revision</t>
  </si>
  <si>
    <t>This design tool was generated based on the information in application report SLUA560</t>
  </si>
  <si>
    <t>It is recommended that you read this application note before using this design tool</t>
  </si>
  <si>
    <t>Enter Design Parameters and Chosen Component Values in Yellow Cells</t>
  </si>
  <si>
    <t>Warning Negative Numbers in Calculated Values Could Indicate</t>
  </si>
  <si>
    <t>&gt; Efficiency goal with selected components may not be achievable</t>
  </si>
  <si>
    <t>&gt; Invalid parameters entered in yellow cells</t>
  </si>
  <si>
    <t>&gt; Design cannot calculate realistic values for your design parameters</t>
  </si>
  <si>
    <t>Design Specifications</t>
  </si>
  <si>
    <t>Description</t>
  </si>
  <si>
    <t xml:space="preserve">Minimum </t>
  </si>
  <si>
    <t xml:space="preserve">Typical </t>
  </si>
  <si>
    <t>Maximum</t>
  </si>
  <si>
    <t>Unit</t>
  </si>
  <si>
    <t>Input Voltage</t>
  </si>
  <si>
    <t>V</t>
  </si>
  <si>
    <t>Output Voltage</t>
  </si>
  <si>
    <t>Allowable Output Voltage
Transients (90% Load Step)</t>
  </si>
  <si>
    <r>
      <t>Output Power (P</t>
    </r>
    <r>
      <rPr>
        <b/>
        <vertAlign val="subscript"/>
        <sz val="12"/>
        <rFont val="Arial"/>
        <family val="2"/>
      </rPr>
      <t>OUT</t>
    </r>
    <r>
      <rPr>
        <b/>
        <sz val="12"/>
        <rFont val="Arial"/>
        <family val="2"/>
      </rPr>
      <t>)</t>
    </r>
  </si>
  <si>
    <t>W</t>
  </si>
  <si>
    <t>Full Load Efficiency</t>
  </si>
  <si>
    <r>
      <t>Inductor (L</t>
    </r>
    <r>
      <rPr>
        <b/>
        <vertAlign val="subscript"/>
        <sz val="12"/>
        <rFont val="Arial"/>
        <family val="2"/>
      </rPr>
      <t>OUT</t>
    </r>
    <r>
      <rPr>
        <b/>
        <sz val="12"/>
        <rFont val="Arial"/>
        <family val="2"/>
      </rPr>
      <t>) Switching Frequency</t>
    </r>
  </si>
  <si>
    <t>kHz</t>
  </si>
  <si>
    <t>Selecting Power Transformer (T1)</t>
  </si>
  <si>
    <t>Variable</t>
  </si>
  <si>
    <t xml:space="preserve">Set Initial Power Budget </t>
  </si>
  <si>
    <r>
      <t>P</t>
    </r>
    <r>
      <rPr>
        <b/>
        <vertAlign val="subscript"/>
        <sz val="12"/>
        <rFont val="Arial"/>
        <family val="2"/>
      </rPr>
      <t>BUDGET</t>
    </r>
  </si>
  <si>
    <t>Estimated FET Voltage Drop</t>
  </si>
  <si>
    <r>
      <t>V</t>
    </r>
    <r>
      <rPr>
        <b/>
        <vertAlign val="subscript"/>
        <sz val="12"/>
        <rFont val="Arial"/>
        <family val="2"/>
      </rPr>
      <t>RDSON</t>
    </r>
  </si>
  <si>
    <t>Maximum Duty Cycle Nominal</t>
  </si>
  <si>
    <r>
      <t>D</t>
    </r>
    <r>
      <rPr>
        <b/>
        <vertAlign val="subscript"/>
        <sz val="12"/>
        <rFont val="Arial"/>
        <family val="2"/>
      </rPr>
      <t>MAX</t>
    </r>
  </si>
  <si>
    <r>
      <t>T1 Transformer Turns Ratio=N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/N</t>
    </r>
    <r>
      <rPr>
        <b/>
        <vertAlign val="subscript"/>
        <sz val="12"/>
        <rFont val="Arial"/>
        <family val="2"/>
      </rPr>
      <t>S</t>
    </r>
  </si>
  <si>
    <t>a1</t>
  </si>
  <si>
    <t>Select Transformer Turns Ratio</t>
  </si>
  <si>
    <t>Typical Duty Cycle</t>
  </si>
  <si>
    <r>
      <t>D</t>
    </r>
    <r>
      <rPr>
        <b/>
        <vertAlign val="subscript"/>
        <sz val="12"/>
        <rFont val="Arial"/>
        <family val="2"/>
      </rPr>
      <t>TYP</t>
    </r>
  </si>
  <si>
    <t>Inductor Ripple Current</t>
  </si>
  <si>
    <r>
      <t>ΔI</t>
    </r>
    <r>
      <rPr>
        <b/>
        <vertAlign val="subscript"/>
        <sz val="12"/>
        <rFont val="Arial"/>
        <family val="2"/>
      </rPr>
      <t>LOUT</t>
    </r>
  </si>
  <si>
    <t>A</t>
  </si>
  <si>
    <t>T1 Primary Magnetizing Inductance &gt; or =</t>
  </si>
  <si>
    <r>
      <t>L</t>
    </r>
    <r>
      <rPr>
        <b/>
        <vertAlign val="subscript"/>
        <sz val="12"/>
        <rFont val="Arial"/>
        <family val="2"/>
      </rPr>
      <t>MAG</t>
    </r>
  </si>
  <si>
    <t>mH</t>
  </si>
  <si>
    <t>Please Refer to Figure of T1 Current</t>
  </si>
  <si>
    <r>
      <t>I</t>
    </r>
    <r>
      <rPr>
        <b/>
        <vertAlign val="subscript"/>
        <sz val="12"/>
        <rFont val="Arial"/>
        <family val="2"/>
      </rPr>
      <t>PS</t>
    </r>
  </si>
  <si>
    <r>
      <t>I</t>
    </r>
    <r>
      <rPr>
        <b/>
        <vertAlign val="subscript"/>
        <sz val="12"/>
        <rFont val="Arial"/>
        <family val="2"/>
      </rPr>
      <t>MS</t>
    </r>
  </si>
  <si>
    <r>
      <t>I</t>
    </r>
    <r>
      <rPr>
        <b/>
        <vertAlign val="subscript"/>
        <sz val="12"/>
        <rFont val="Arial"/>
        <family val="2"/>
      </rPr>
      <t>MS2</t>
    </r>
  </si>
  <si>
    <t>Partial RMS Current</t>
  </si>
  <si>
    <r>
      <t>I</t>
    </r>
    <r>
      <rPr>
        <b/>
        <vertAlign val="subscript"/>
        <sz val="12"/>
        <rFont val="Arial"/>
        <family val="2"/>
      </rPr>
      <t>SRMS1</t>
    </r>
  </si>
  <si>
    <r>
      <t>I</t>
    </r>
    <r>
      <rPr>
        <b/>
        <vertAlign val="subscript"/>
        <sz val="12"/>
        <rFont val="Arial"/>
        <family val="2"/>
      </rPr>
      <t>SRMS2</t>
    </r>
  </si>
  <si>
    <r>
      <t>I</t>
    </r>
    <r>
      <rPr>
        <b/>
        <vertAlign val="subscript"/>
        <sz val="12"/>
        <rFont val="Arial"/>
        <family val="2"/>
      </rPr>
      <t>SRMS3</t>
    </r>
  </si>
  <si>
    <r>
      <t>Calculate T1 Secondary RMS Current (I</t>
    </r>
    <r>
      <rPr>
        <b/>
        <vertAlign val="subscript"/>
        <sz val="12"/>
        <rFont val="Arial"/>
        <family val="2"/>
      </rPr>
      <t>SRMS</t>
    </r>
    <r>
      <rPr>
        <b/>
        <sz val="12"/>
        <rFont val="Arial"/>
        <family val="2"/>
      </rPr>
      <t>)</t>
    </r>
  </si>
  <si>
    <r>
      <t>I</t>
    </r>
    <r>
      <rPr>
        <b/>
        <vertAlign val="subscript"/>
        <sz val="12"/>
        <rFont val="Arial"/>
        <family val="2"/>
      </rPr>
      <t>SRMS</t>
    </r>
  </si>
  <si>
    <r>
      <t>Primary Magnetizing Current Based on L</t>
    </r>
    <r>
      <rPr>
        <b/>
        <vertAlign val="subscript"/>
        <sz val="12"/>
        <rFont val="Arial"/>
        <family val="2"/>
      </rPr>
      <t>MAG</t>
    </r>
  </si>
  <si>
    <r>
      <t>ΔI</t>
    </r>
    <r>
      <rPr>
        <b/>
        <vertAlign val="subscript"/>
        <sz val="12"/>
        <rFont val="Arial"/>
        <family val="2"/>
      </rPr>
      <t>LMAG</t>
    </r>
  </si>
  <si>
    <r>
      <t>I</t>
    </r>
    <r>
      <rPr>
        <b/>
        <vertAlign val="subscript"/>
        <sz val="12"/>
        <rFont val="Arial"/>
        <family val="2"/>
      </rPr>
      <t>PP</t>
    </r>
  </si>
  <si>
    <r>
      <t>I</t>
    </r>
    <r>
      <rPr>
        <b/>
        <vertAlign val="subscript"/>
        <sz val="12"/>
        <rFont val="Arial"/>
        <family val="2"/>
      </rPr>
      <t>MP</t>
    </r>
  </si>
  <si>
    <r>
      <t>I</t>
    </r>
    <r>
      <rPr>
        <b/>
        <vertAlign val="subscript"/>
        <sz val="12"/>
        <rFont val="Arial"/>
        <family val="2"/>
      </rPr>
      <t>MP2</t>
    </r>
  </si>
  <si>
    <r>
      <t>I</t>
    </r>
    <r>
      <rPr>
        <b/>
        <vertAlign val="subscript"/>
        <sz val="12"/>
        <rFont val="Arial"/>
        <family val="2"/>
      </rPr>
      <t>PRMS1</t>
    </r>
  </si>
  <si>
    <r>
      <t>I</t>
    </r>
    <r>
      <rPr>
        <b/>
        <vertAlign val="subscript"/>
        <sz val="12"/>
        <rFont val="Arial"/>
        <family val="2"/>
      </rPr>
      <t>PRMS2</t>
    </r>
  </si>
  <si>
    <r>
      <t>Calculate T1 Primary RMS Current (I</t>
    </r>
    <r>
      <rPr>
        <b/>
        <vertAlign val="subscript"/>
        <sz val="12"/>
        <rFont val="Arial"/>
        <family val="2"/>
      </rPr>
      <t>PRMS</t>
    </r>
    <r>
      <rPr>
        <b/>
        <sz val="12"/>
        <rFont val="Arial"/>
        <family val="2"/>
      </rPr>
      <t>)</t>
    </r>
  </si>
  <si>
    <r>
      <t>I</t>
    </r>
    <r>
      <rPr>
        <b/>
        <vertAlign val="subscript"/>
        <sz val="12"/>
        <rFont val="Arial"/>
        <family val="2"/>
      </rPr>
      <t>PRMS</t>
    </r>
  </si>
  <si>
    <t>Primary Magnetizing Inductance</t>
  </si>
  <si>
    <t>Transformer Primary DC Resistance</t>
  </si>
  <si>
    <r>
      <t>DCR</t>
    </r>
    <r>
      <rPr>
        <b/>
        <vertAlign val="subscript"/>
        <sz val="12"/>
        <rFont val="Arial"/>
        <family val="2"/>
      </rPr>
      <t>P</t>
    </r>
  </si>
  <si>
    <t>mΩ</t>
  </si>
  <si>
    <t>Transformer Secondary DC Resistance</t>
  </si>
  <si>
    <r>
      <t>DCR</t>
    </r>
    <r>
      <rPr>
        <b/>
        <vertAlign val="subscript"/>
        <sz val="12"/>
        <rFont val="Arial"/>
        <family val="2"/>
      </rPr>
      <t>S</t>
    </r>
  </si>
  <si>
    <t>Measured Transformer Primary Leakage Inductance</t>
  </si>
  <si>
    <r>
      <t>L</t>
    </r>
    <r>
      <rPr>
        <b/>
        <vertAlign val="subscript"/>
        <sz val="12"/>
        <rFont val="Arial"/>
        <family val="2"/>
      </rPr>
      <t>LK</t>
    </r>
  </si>
  <si>
    <t>uH</t>
  </si>
  <si>
    <t>Estimated transform loss, 2X Copper Losses</t>
  </si>
  <si>
    <r>
      <t>P</t>
    </r>
    <r>
      <rPr>
        <b/>
        <vertAlign val="subscript"/>
        <sz val="12"/>
        <rFont val="Arial"/>
        <family val="2"/>
      </rPr>
      <t>T1</t>
    </r>
  </si>
  <si>
    <t>Recalculate Power Budget</t>
  </si>
  <si>
    <t>QA, QB, QC, QD FET selection:</t>
  </si>
  <si>
    <t>Voltage Applied to FET Gate ≈ VDD</t>
  </si>
  <si>
    <r>
      <t>V</t>
    </r>
    <r>
      <rPr>
        <b/>
        <vertAlign val="subscript"/>
        <sz val="12"/>
        <rFont val="Arial"/>
        <family val="2"/>
      </rPr>
      <t>g</t>
    </r>
  </si>
  <si>
    <t>FET drain to source on resistance</t>
  </si>
  <si>
    <r>
      <t>R</t>
    </r>
    <r>
      <rPr>
        <b/>
        <vertAlign val="subscript"/>
        <sz val="12"/>
        <rFont val="Arial"/>
        <family val="2"/>
      </rPr>
      <t>ds(on)QA</t>
    </r>
  </si>
  <si>
    <t>FET Specified Coss</t>
  </si>
  <si>
    <r>
      <t>C</t>
    </r>
    <r>
      <rPr>
        <b/>
        <vertAlign val="subscript"/>
        <sz val="12"/>
        <rFont val="Arial"/>
        <family val="2"/>
      </rPr>
      <t>OSS_QA_SPEC</t>
    </r>
  </si>
  <si>
    <t>pF</t>
  </si>
  <si>
    <t>QA FET Gate Charge</t>
  </si>
  <si>
    <r>
      <t>QA</t>
    </r>
    <r>
      <rPr>
        <b/>
        <vertAlign val="subscript"/>
        <sz val="12"/>
        <rFont val="Arial"/>
        <family val="2"/>
      </rPr>
      <t>g</t>
    </r>
  </si>
  <si>
    <t>nC</t>
  </si>
  <si>
    <r>
      <t>Voltage Across Drain to Source Where C</t>
    </r>
    <r>
      <rPr>
        <b/>
        <vertAlign val="subscript"/>
        <sz val="12"/>
        <rFont val="Arial"/>
        <family val="2"/>
      </rPr>
      <t xml:space="preserve">OSS </t>
    </r>
    <r>
      <rPr>
        <b/>
        <sz val="12"/>
        <color indexed="8"/>
        <rFont val="Arial"/>
        <family val="2"/>
      </rPr>
      <t>was Measured, Data Sheet Parameter</t>
    </r>
  </si>
  <si>
    <r>
      <t>V</t>
    </r>
    <r>
      <rPr>
        <b/>
        <vertAlign val="subscript"/>
        <sz val="12"/>
        <rFont val="Arial"/>
        <family val="2"/>
      </rPr>
      <t>dsQA</t>
    </r>
  </si>
  <si>
    <r>
      <t>Calculate average C</t>
    </r>
    <r>
      <rPr>
        <b/>
        <vertAlign val="subscript"/>
        <sz val="12"/>
        <rFont val="Arial"/>
        <family val="2"/>
      </rPr>
      <t xml:space="preserve">OSS </t>
    </r>
  </si>
  <si>
    <r>
      <t>C</t>
    </r>
    <r>
      <rPr>
        <b/>
        <vertAlign val="subscript"/>
        <sz val="12"/>
        <rFont val="Arial"/>
        <family val="2"/>
      </rPr>
      <t>OSS_QA_AVG</t>
    </r>
  </si>
  <si>
    <t xml:space="preserve">Calculate QA losses </t>
  </si>
  <si>
    <r>
      <t>P</t>
    </r>
    <r>
      <rPr>
        <b/>
        <vertAlign val="subscript"/>
        <sz val="12"/>
        <rFont val="Arial"/>
        <family val="2"/>
      </rPr>
      <t>QA</t>
    </r>
  </si>
  <si>
    <r>
      <t>Select Shim Inductor (L</t>
    </r>
    <r>
      <rPr>
        <b/>
        <vertAlign val="subscript"/>
        <sz val="12"/>
        <color indexed="9"/>
        <rFont val="Arial"/>
        <family val="2"/>
      </rPr>
      <t>S</t>
    </r>
    <r>
      <rPr>
        <b/>
        <sz val="12"/>
        <color indexed="9"/>
        <rFont val="Arial"/>
        <family val="2"/>
      </rPr>
      <t>)</t>
    </r>
  </si>
  <si>
    <t>Calculated Shim Inductance</t>
  </si>
  <si>
    <r>
      <t>L</t>
    </r>
    <r>
      <rPr>
        <b/>
        <vertAlign val="subscript"/>
        <sz val="12"/>
        <rFont val="Arial"/>
        <family val="2"/>
      </rPr>
      <t>S</t>
    </r>
  </si>
  <si>
    <t>Shim Inductance Used</t>
  </si>
  <si>
    <r>
      <t>L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 xml:space="preserve"> DC Resistance</t>
    </r>
  </si>
  <si>
    <r>
      <t>DCR</t>
    </r>
    <r>
      <rPr>
        <b/>
        <vertAlign val="subscript"/>
        <sz val="12"/>
        <rFont val="Arial"/>
        <family val="2"/>
      </rPr>
      <t>LS</t>
    </r>
  </si>
  <si>
    <r>
      <t>Estimate L</t>
    </r>
    <r>
      <rPr>
        <b/>
        <vertAlign val="subscript"/>
        <sz val="12"/>
        <rFont val="Arial"/>
        <family val="2"/>
      </rPr>
      <t xml:space="preserve">S </t>
    </r>
    <r>
      <rPr>
        <b/>
        <sz val="12"/>
        <rFont val="Arial"/>
        <family val="2"/>
      </rPr>
      <t>power loss (P</t>
    </r>
    <r>
      <rPr>
        <b/>
        <vertAlign val="subscript"/>
        <sz val="12"/>
        <rFont val="Arial"/>
        <family val="2"/>
      </rPr>
      <t>LS</t>
    </r>
    <r>
      <rPr>
        <b/>
        <sz val="12"/>
        <rFont val="Arial"/>
        <family val="2"/>
      </rPr>
      <t xml:space="preserve">) </t>
    </r>
  </si>
  <si>
    <r>
      <t>P</t>
    </r>
    <r>
      <rPr>
        <b/>
        <vertAlign val="subscript"/>
        <sz val="12"/>
        <rFont val="Arial"/>
        <family val="2"/>
      </rPr>
      <t>LS</t>
    </r>
  </si>
  <si>
    <r>
      <t>Selecting Output Inductor (L</t>
    </r>
    <r>
      <rPr>
        <b/>
        <vertAlign val="subscript"/>
        <sz val="12"/>
        <color indexed="9"/>
        <rFont val="Arial"/>
        <family val="2"/>
      </rPr>
      <t>OUT</t>
    </r>
    <r>
      <rPr>
        <b/>
        <sz val="12"/>
        <color indexed="9"/>
        <rFont val="Arial"/>
        <family val="2"/>
      </rPr>
      <t>)</t>
    </r>
  </si>
  <si>
    <t>Calculate Output Inductance</t>
  </si>
  <si>
    <r>
      <t>L</t>
    </r>
    <r>
      <rPr>
        <b/>
        <vertAlign val="subscript"/>
        <sz val="12"/>
        <rFont val="Arial"/>
        <family val="2"/>
      </rPr>
      <t>OUT</t>
    </r>
  </si>
  <si>
    <r>
      <t>Calculate L</t>
    </r>
    <r>
      <rPr>
        <b/>
        <vertAlign val="subscript"/>
        <sz val="12"/>
        <rFont val="Arial"/>
        <family val="2"/>
      </rPr>
      <t>OUT</t>
    </r>
    <r>
      <rPr>
        <b/>
        <sz val="12"/>
        <rFont val="Arial"/>
        <family val="2"/>
      </rPr>
      <t xml:space="preserve"> RMS Current</t>
    </r>
  </si>
  <si>
    <r>
      <t>I</t>
    </r>
    <r>
      <rPr>
        <b/>
        <vertAlign val="subscript"/>
        <sz val="12"/>
        <rFont val="Arial"/>
        <family val="2"/>
      </rPr>
      <t>LOUT_RMS</t>
    </r>
  </si>
  <si>
    <t>Output Inductance Used</t>
  </si>
  <si>
    <r>
      <t>L</t>
    </r>
    <r>
      <rPr>
        <b/>
        <vertAlign val="subscript"/>
        <sz val="12"/>
        <rFont val="Arial"/>
        <family val="2"/>
      </rPr>
      <t>OUT</t>
    </r>
    <r>
      <rPr>
        <b/>
        <sz val="12"/>
        <rFont val="Arial"/>
        <family val="2"/>
      </rPr>
      <t xml:space="preserve"> equivalent series resistance</t>
    </r>
  </si>
  <si>
    <r>
      <t>DCR</t>
    </r>
    <r>
      <rPr>
        <b/>
        <vertAlign val="subscript"/>
        <sz val="12"/>
        <rFont val="Arial"/>
        <family val="2"/>
      </rPr>
      <t>LOUT</t>
    </r>
  </si>
  <si>
    <r>
      <t>Estimate L</t>
    </r>
    <r>
      <rPr>
        <b/>
        <vertAlign val="subscript"/>
        <sz val="12"/>
        <rFont val="Arial"/>
        <family val="2"/>
      </rPr>
      <t xml:space="preserve">OUT </t>
    </r>
    <r>
      <rPr>
        <b/>
        <sz val="12"/>
        <rFont val="Arial"/>
        <family val="2"/>
      </rPr>
      <t>power loss</t>
    </r>
  </si>
  <si>
    <r>
      <t>P</t>
    </r>
    <r>
      <rPr>
        <b/>
        <vertAlign val="subscript"/>
        <sz val="12"/>
        <rFont val="Arial"/>
        <family val="2"/>
      </rPr>
      <t>LOUT</t>
    </r>
  </si>
  <si>
    <r>
      <t>Selecting Output Capacitance (C</t>
    </r>
    <r>
      <rPr>
        <b/>
        <vertAlign val="subscript"/>
        <sz val="12"/>
        <color indexed="9"/>
        <rFont val="Arial"/>
        <family val="2"/>
      </rPr>
      <t>OUT</t>
    </r>
    <r>
      <rPr>
        <b/>
        <sz val="12"/>
        <color indexed="9"/>
        <rFont val="Arial"/>
        <family val="2"/>
      </rPr>
      <t>)</t>
    </r>
  </si>
  <si>
    <r>
      <t>Time it takes L</t>
    </r>
    <r>
      <rPr>
        <b/>
        <vertAlign val="subscript"/>
        <sz val="12"/>
        <rFont val="Arial"/>
        <family val="2"/>
      </rPr>
      <t xml:space="preserve">OUT </t>
    </r>
    <r>
      <rPr>
        <b/>
        <sz val="12"/>
        <rFont val="Arial"/>
        <family val="2"/>
      </rPr>
      <t>to change 90% of its full load current</t>
    </r>
  </si>
  <si>
    <r>
      <t>t</t>
    </r>
    <r>
      <rPr>
        <b/>
        <vertAlign val="subscript"/>
        <sz val="12"/>
        <rFont val="Arial"/>
        <family val="2"/>
      </rPr>
      <t>HU</t>
    </r>
  </si>
  <si>
    <t>us</t>
  </si>
  <si>
    <t>Output Capacitance ESR  ≤</t>
  </si>
  <si>
    <r>
      <t>ESR</t>
    </r>
    <r>
      <rPr>
        <b/>
        <vertAlign val="subscript"/>
        <sz val="12"/>
        <rFont val="Arial"/>
        <family val="2"/>
      </rPr>
      <t>COUT</t>
    </r>
  </si>
  <si>
    <t>Output Capacitance Cout  ≥</t>
  </si>
  <si>
    <r>
      <t>C</t>
    </r>
    <r>
      <rPr>
        <b/>
        <vertAlign val="subscript"/>
        <sz val="12"/>
        <rFont val="Arial"/>
        <family val="2"/>
      </rPr>
      <t>OUT</t>
    </r>
  </si>
  <si>
    <t>uF</t>
  </si>
  <si>
    <t>Output Capacitance RMS Current</t>
  </si>
  <si>
    <r>
      <t>I</t>
    </r>
    <r>
      <rPr>
        <b/>
        <vertAlign val="subscript"/>
        <sz val="12"/>
        <rFont val="Arial"/>
        <family val="2"/>
      </rPr>
      <t>COUT_RMS</t>
    </r>
  </si>
  <si>
    <t>Number of Output Capacitors Used</t>
  </si>
  <si>
    <t>n</t>
  </si>
  <si>
    <t>Single Capacitor Capacitance</t>
  </si>
  <si>
    <t>Single Capacitor ESR</t>
  </si>
  <si>
    <t>Total Output Capacitance</t>
  </si>
  <si>
    <t>Total Equivalent Series Resistance</t>
  </si>
  <si>
    <t>Calculate Output Capacitance Loss</t>
  </si>
  <si>
    <r>
      <t>P</t>
    </r>
    <r>
      <rPr>
        <b/>
        <vertAlign val="subscript"/>
        <sz val="12"/>
        <rFont val="Arial"/>
        <family val="2"/>
      </rPr>
      <t>COUT</t>
    </r>
  </si>
  <si>
    <t>Select FETs QE and QF:</t>
  </si>
  <si>
    <t>Maximum Voltage Across QE and QF</t>
  </si>
  <si>
    <r>
      <t>V</t>
    </r>
    <r>
      <rPr>
        <b/>
        <vertAlign val="subscript"/>
        <sz val="12"/>
        <rFont val="Arial"/>
        <family val="2"/>
      </rPr>
      <t>dsQE</t>
    </r>
  </si>
  <si>
    <t>QE and QF Gate Charge</t>
  </si>
  <si>
    <r>
      <t>QE</t>
    </r>
    <r>
      <rPr>
        <b/>
        <vertAlign val="subscript"/>
        <sz val="12"/>
        <rFont val="Arial"/>
        <family val="2"/>
      </rPr>
      <t>g</t>
    </r>
  </si>
  <si>
    <t>QE and QF on Resistance</t>
  </si>
  <si>
    <r>
      <t>R</t>
    </r>
    <r>
      <rPr>
        <b/>
        <vertAlign val="subscript"/>
        <sz val="12"/>
        <rFont val="Arial"/>
        <family val="2"/>
      </rPr>
      <t>ds(on)QE</t>
    </r>
  </si>
  <si>
    <r>
      <t>Voltage Specified at C</t>
    </r>
    <r>
      <rPr>
        <b/>
        <vertAlign val="subscript"/>
        <sz val="12"/>
        <rFont val="Arial"/>
        <family val="2"/>
      </rPr>
      <t>OSS</t>
    </r>
    <r>
      <rPr>
        <b/>
        <sz val="12"/>
        <rFont val="Arial"/>
        <family val="2"/>
      </rPr>
      <t xml:space="preserve"> Specified in the Data Sheet</t>
    </r>
  </si>
  <si>
    <r>
      <t>V</t>
    </r>
    <r>
      <rPr>
        <b/>
        <vertAlign val="subscript"/>
        <sz val="12"/>
        <rFont val="Arial"/>
        <family val="2"/>
      </rPr>
      <t>dsQE_SPEC</t>
    </r>
  </si>
  <si>
    <r>
      <t>Specified QE and QF C</t>
    </r>
    <r>
      <rPr>
        <b/>
        <vertAlign val="subscript"/>
        <sz val="12"/>
        <rFont val="Arial"/>
        <family val="2"/>
      </rPr>
      <t xml:space="preserve">OSS </t>
    </r>
    <r>
      <rPr>
        <b/>
        <sz val="12"/>
        <rFont val="Arial"/>
        <family val="2"/>
      </rPr>
      <t>From the Data Sheet</t>
    </r>
  </si>
  <si>
    <r>
      <t>C</t>
    </r>
    <r>
      <rPr>
        <b/>
        <vertAlign val="subscript"/>
        <sz val="12"/>
        <rFont val="Arial"/>
        <family val="2"/>
      </rPr>
      <t>OSS_SPEC</t>
    </r>
  </si>
  <si>
    <r>
      <t>Average QE and QF C</t>
    </r>
    <r>
      <rPr>
        <b/>
        <vertAlign val="subscript"/>
        <sz val="12"/>
        <rFont val="Arial"/>
        <family val="2"/>
      </rPr>
      <t>OSS</t>
    </r>
  </si>
  <si>
    <r>
      <t>C</t>
    </r>
    <r>
      <rPr>
        <b/>
        <vertAlign val="subscript"/>
        <sz val="12"/>
        <rFont val="Arial"/>
        <family val="2"/>
      </rPr>
      <t>OSS_QE_AVG</t>
    </r>
  </si>
  <si>
    <t>QE and QF RMS Current</t>
  </si>
  <si>
    <r>
      <t>I</t>
    </r>
    <r>
      <rPr>
        <b/>
        <vertAlign val="subscript"/>
        <sz val="12"/>
        <rFont val="Arial"/>
        <family val="2"/>
      </rPr>
      <t>QE_RMS</t>
    </r>
  </si>
  <si>
    <t>Maximum Gate Charge at the end of the Miller Plateau</t>
  </si>
  <si>
    <r>
      <t>QE</t>
    </r>
    <r>
      <rPr>
        <b/>
        <vertAlign val="subscript"/>
        <sz val="12"/>
        <rFont val="Arial"/>
        <family val="2"/>
      </rPr>
      <t>MILLER_MAX</t>
    </r>
  </si>
  <si>
    <t>Minimum Gate Charge at the beginning of the Miller Plateau</t>
  </si>
  <si>
    <r>
      <t>QE</t>
    </r>
    <r>
      <rPr>
        <b/>
        <vertAlign val="subscript"/>
        <sz val="12"/>
        <rFont val="Arial"/>
        <family val="2"/>
      </rPr>
      <t>MILLER_MIN</t>
    </r>
  </si>
  <si>
    <t>Peak Current Gate of QE and QF is Driven with</t>
  </si>
  <si>
    <r>
      <t>I</t>
    </r>
    <r>
      <rPr>
        <b/>
        <vertAlign val="subscript"/>
        <sz val="12"/>
        <rFont val="Arial"/>
        <family val="2"/>
      </rPr>
      <t>P</t>
    </r>
  </si>
  <si>
    <r>
      <t>Approximate QE and QF V</t>
    </r>
    <r>
      <rPr>
        <b/>
        <vertAlign val="subscript"/>
        <sz val="12"/>
        <rFont val="Arial"/>
        <family val="2"/>
      </rPr>
      <t>ds</t>
    </r>
    <r>
      <rPr>
        <b/>
        <sz val="12"/>
        <rFont val="Arial"/>
        <family val="2"/>
      </rPr>
      <t xml:space="preserve"> Rise and Fall Times</t>
    </r>
  </si>
  <si>
    <r>
      <t>t</t>
    </r>
    <r>
      <rPr>
        <b/>
        <vertAlign val="sub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≈ t</t>
    </r>
    <r>
      <rPr>
        <b/>
        <vertAlign val="subscript"/>
        <sz val="12"/>
        <rFont val="Arial"/>
        <family val="2"/>
      </rPr>
      <t>f</t>
    </r>
  </si>
  <si>
    <t>ns</t>
  </si>
  <si>
    <t>Estimate QE FET Losses</t>
  </si>
  <si>
    <r>
      <t>P</t>
    </r>
    <r>
      <rPr>
        <b/>
        <vertAlign val="subscript"/>
        <sz val="12"/>
        <rFont val="Arial"/>
        <family val="2"/>
      </rPr>
      <t>QE</t>
    </r>
  </si>
  <si>
    <r>
      <t>Input Capacitance Calculations (C</t>
    </r>
    <r>
      <rPr>
        <b/>
        <vertAlign val="subscript"/>
        <sz val="12"/>
        <color indexed="9"/>
        <rFont val="Arial"/>
        <family val="2"/>
      </rPr>
      <t>IN</t>
    </r>
    <r>
      <rPr>
        <b/>
        <sz val="12"/>
        <color indexed="9"/>
        <rFont val="Arial"/>
        <family val="2"/>
      </rPr>
      <t>)</t>
    </r>
  </si>
  <si>
    <t>Calculate Resonant Tank Frequency</t>
  </si>
  <si>
    <t>fr</t>
  </si>
  <si>
    <t>Possible Delay That will Be Required for ZVS</t>
  </si>
  <si>
    <r>
      <t>t</t>
    </r>
    <r>
      <rPr>
        <b/>
        <vertAlign val="subscript"/>
        <sz val="12"/>
        <rFont val="Arial"/>
        <family val="2"/>
      </rPr>
      <t>DELAY</t>
    </r>
  </si>
  <si>
    <t>Switching Cycle Period</t>
  </si>
  <si>
    <t>ts</t>
  </si>
  <si>
    <r>
      <t>t</t>
    </r>
    <r>
      <rPr>
        <b/>
        <vertAlign val="subscript"/>
        <sz val="12"/>
        <rFont val="Arial"/>
        <family val="2"/>
      </rPr>
      <t>DELAY</t>
    </r>
    <r>
      <rPr>
        <b/>
        <sz val="12"/>
        <rFont val="Arial"/>
        <family val="2"/>
      </rPr>
      <t xml:space="preserve"> will act as a duty cycle clamp</t>
    </r>
  </si>
  <si>
    <r>
      <t>D</t>
    </r>
    <r>
      <rPr>
        <b/>
        <vertAlign val="subscript"/>
        <sz val="12"/>
        <rFont val="Arial"/>
        <family val="2"/>
      </rPr>
      <t>CLAMP</t>
    </r>
  </si>
  <si>
    <t>Minimum Input During Line Dropout</t>
  </si>
  <si>
    <r>
      <t>V</t>
    </r>
    <r>
      <rPr>
        <b/>
        <vertAlign val="subscript"/>
        <sz val="12"/>
        <rFont val="Arial"/>
        <family val="2"/>
      </rPr>
      <t>DROP</t>
    </r>
  </si>
  <si>
    <t>Calculate Minimum Input Capacitance</t>
  </si>
  <si>
    <r>
      <t>C</t>
    </r>
    <r>
      <rPr>
        <b/>
        <vertAlign val="subscript"/>
        <sz val="12"/>
        <rFont val="Arial"/>
        <family val="2"/>
      </rPr>
      <t>IN</t>
    </r>
  </si>
  <si>
    <r>
      <t>High Frequency C</t>
    </r>
    <r>
      <rPr>
        <b/>
        <vertAlign val="subscript"/>
        <sz val="12"/>
        <rFont val="Arial"/>
        <family val="2"/>
      </rPr>
      <t>IN</t>
    </r>
    <r>
      <rPr>
        <b/>
        <sz val="12"/>
        <rFont val="Arial"/>
        <family val="2"/>
      </rPr>
      <t xml:space="preserve"> RMS Current</t>
    </r>
  </si>
  <si>
    <r>
      <t>I</t>
    </r>
    <r>
      <rPr>
        <b/>
        <vertAlign val="subscript"/>
        <sz val="12"/>
        <rFont val="Arial"/>
        <family val="2"/>
      </rPr>
      <t>CINRMS</t>
    </r>
  </si>
  <si>
    <t>Input Capacitance Used</t>
  </si>
  <si>
    <t>Equivalent Series Resistance</t>
  </si>
  <si>
    <r>
      <t>ESR</t>
    </r>
    <r>
      <rPr>
        <b/>
        <vertAlign val="subscript"/>
        <sz val="12"/>
        <rFont val="Arial"/>
        <family val="2"/>
      </rPr>
      <t>CIN</t>
    </r>
  </si>
  <si>
    <r>
      <t>Estimate C</t>
    </r>
    <r>
      <rPr>
        <b/>
        <vertAlign val="subscript"/>
        <sz val="12"/>
        <rFont val="Arial"/>
        <family val="2"/>
      </rPr>
      <t>IN</t>
    </r>
    <r>
      <rPr>
        <b/>
        <sz val="12"/>
        <rFont val="Arial"/>
        <family val="2"/>
      </rPr>
      <t xml:space="preserve"> Power Dissipation</t>
    </r>
  </si>
  <si>
    <r>
      <t>P</t>
    </r>
    <r>
      <rPr>
        <b/>
        <vertAlign val="subscript"/>
        <sz val="12"/>
        <rFont val="Arial"/>
        <family val="2"/>
      </rPr>
      <t>CIN</t>
    </r>
  </si>
  <si>
    <t>Recalculate Power Budget 
This is the remaining power left for the CT network, IC and IC sensing resistors</t>
  </si>
  <si>
    <r>
      <t>Setting up the current sense network (CT, R</t>
    </r>
    <r>
      <rPr>
        <b/>
        <vertAlign val="subscript"/>
        <sz val="12"/>
        <color indexed="9"/>
        <rFont val="Arial"/>
        <family val="2"/>
      </rPr>
      <t>S</t>
    </r>
    <r>
      <rPr>
        <b/>
        <sz val="12"/>
        <color indexed="9"/>
        <rFont val="Arial"/>
        <family val="2"/>
      </rPr>
      <t>, R</t>
    </r>
    <r>
      <rPr>
        <b/>
        <vertAlign val="subscript"/>
        <sz val="12"/>
        <color indexed="9"/>
        <rFont val="Arial"/>
        <family val="2"/>
      </rPr>
      <t xml:space="preserve">RE, </t>
    </r>
    <r>
      <rPr>
        <b/>
        <sz val="12"/>
        <color indexed="9"/>
        <rFont val="Arial"/>
        <family val="2"/>
      </rPr>
      <t>D</t>
    </r>
    <r>
      <rPr>
        <b/>
        <vertAlign val="subscript"/>
        <sz val="12"/>
        <color indexed="9"/>
        <rFont val="Arial"/>
        <family val="2"/>
      </rPr>
      <t>A</t>
    </r>
    <r>
      <rPr>
        <b/>
        <sz val="12"/>
        <color indexed="9"/>
        <rFont val="Arial"/>
        <family val="2"/>
      </rPr>
      <t>):</t>
    </r>
  </si>
  <si>
    <r>
      <t>Select CT and Enter Turns Ratio a2 = I</t>
    </r>
    <r>
      <rPr>
        <b/>
        <vertAlign val="subscript"/>
        <sz val="12"/>
        <rFont val="Arial"/>
        <family val="2"/>
      </rPr>
      <t>P</t>
    </r>
    <r>
      <rPr>
        <b/>
        <sz val="12"/>
        <rFont val="Arial"/>
        <family val="2"/>
      </rPr>
      <t>/I</t>
    </r>
    <r>
      <rPr>
        <b/>
        <vertAlign val="subscript"/>
        <sz val="12"/>
        <rFont val="Arial"/>
        <family val="2"/>
      </rPr>
      <t>S</t>
    </r>
  </si>
  <si>
    <t>a2</t>
  </si>
  <si>
    <r>
      <t>Calculate nominal peak current (I</t>
    </r>
    <r>
      <rPr>
        <b/>
        <vertAlign val="subscript"/>
        <sz val="12"/>
        <rFont val="Arial"/>
        <family val="2"/>
      </rPr>
      <t>P1</t>
    </r>
    <r>
      <rPr>
        <b/>
        <sz val="12"/>
        <rFont val="Arial"/>
        <family val="2"/>
      </rPr>
      <t>) at V</t>
    </r>
    <r>
      <rPr>
        <b/>
        <vertAlign val="subscript"/>
        <sz val="12"/>
        <rFont val="Arial"/>
        <family val="2"/>
      </rPr>
      <t>INMIN</t>
    </r>
  </si>
  <si>
    <r>
      <t>I</t>
    </r>
    <r>
      <rPr>
        <b/>
        <vertAlign val="subscript"/>
        <sz val="12"/>
        <rFont val="Arial"/>
        <family val="2"/>
      </rPr>
      <t>P1</t>
    </r>
  </si>
  <si>
    <t>Calculate Current Sense Resistor</t>
  </si>
  <si>
    <r>
      <t>R</t>
    </r>
    <r>
      <rPr>
        <b/>
        <vertAlign val="subscript"/>
        <sz val="12"/>
        <rFont val="Arial"/>
        <family val="2"/>
      </rPr>
      <t>S</t>
    </r>
  </si>
  <si>
    <t>Ω</t>
  </si>
  <si>
    <t>Closest Standard Resistor Value (E48)</t>
  </si>
  <si>
    <t>Select Current Sense Resistor for Your Design</t>
  </si>
  <si>
    <t>Estimate Rs Power Loss</t>
  </si>
  <si>
    <r>
      <t>P</t>
    </r>
    <r>
      <rPr>
        <b/>
        <vertAlign val="subscript"/>
        <sz val="12"/>
        <rFont val="Arial"/>
        <family val="2"/>
      </rPr>
      <t>RS</t>
    </r>
  </si>
  <si>
    <r>
      <t>Maximum Diode D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Reverse Voltage</t>
    </r>
  </si>
  <si>
    <r>
      <t>V</t>
    </r>
    <r>
      <rPr>
        <b/>
        <vertAlign val="subscript"/>
        <sz val="12"/>
        <rFont val="Arial"/>
        <family val="2"/>
      </rPr>
      <t>DA</t>
    </r>
  </si>
  <si>
    <r>
      <t>Estimate D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Losses</t>
    </r>
  </si>
  <si>
    <r>
      <t>P</t>
    </r>
    <r>
      <rPr>
        <b/>
        <vertAlign val="subscript"/>
        <sz val="12"/>
        <rFont val="Arial"/>
        <family val="2"/>
      </rPr>
      <t>DA</t>
    </r>
  </si>
  <si>
    <r>
      <t>Setting up Voltage Amplifier Reference G</t>
    </r>
    <r>
      <rPr>
        <b/>
        <vertAlign val="subscript"/>
        <sz val="12"/>
        <color indexed="9"/>
        <rFont val="Arial"/>
        <family val="2"/>
      </rPr>
      <t>C</t>
    </r>
    <r>
      <rPr>
        <b/>
        <sz val="12"/>
        <color indexed="9"/>
        <rFont val="Arial"/>
        <family val="2"/>
      </rPr>
      <t>(f)</t>
    </r>
  </si>
  <si>
    <t>Programmed Voltage Reference, Needs to be &lt; 5V</t>
  </si>
  <si>
    <t>V1</t>
  </si>
  <si>
    <t>Select Standard Resistor</t>
  </si>
  <si>
    <r>
      <t>R</t>
    </r>
    <r>
      <rPr>
        <b/>
        <vertAlign val="subscript"/>
        <sz val="12"/>
        <rFont val="Arial"/>
        <family val="2"/>
      </rPr>
      <t>B</t>
    </r>
  </si>
  <si>
    <t>kΩ</t>
  </si>
  <si>
    <t>Calculated Resistance</t>
  </si>
  <si>
    <r>
      <t>R</t>
    </r>
    <r>
      <rPr>
        <b/>
        <vertAlign val="subscript"/>
        <sz val="12"/>
        <rFont val="Arial"/>
        <family val="2"/>
      </rPr>
      <t>A</t>
    </r>
  </si>
  <si>
    <t>Select Standard Resistor Value</t>
  </si>
  <si>
    <r>
      <t>R</t>
    </r>
    <r>
      <rPr>
        <b/>
        <vertAlign val="subscript"/>
        <sz val="12"/>
        <rFont val="Arial"/>
        <family val="2"/>
      </rPr>
      <t>C</t>
    </r>
  </si>
  <si>
    <r>
      <t>R</t>
    </r>
    <r>
      <rPr>
        <b/>
        <vertAlign val="subscript"/>
        <sz val="12"/>
        <rFont val="Arial"/>
        <family val="2"/>
      </rPr>
      <t>I</t>
    </r>
  </si>
  <si>
    <r>
      <t>Double pole of G</t>
    </r>
    <r>
      <rPr>
        <b/>
        <vertAlign val="subscript"/>
        <sz val="12"/>
        <rFont val="Arial"/>
        <family val="2"/>
      </rPr>
      <t>CO</t>
    </r>
    <r>
      <rPr>
        <b/>
        <sz val="12"/>
        <rFont val="Arial"/>
        <family val="2"/>
      </rPr>
      <t>(f)</t>
    </r>
  </si>
  <si>
    <r>
      <t>f</t>
    </r>
    <r>
      <rPr>
        <b/>
        <vertAlign val="subscript"/>
        <sz val="12"/>
        <rFont val="Arial"/>
        <family val="2"/>
      </rPr>
      <t>PP</t>
    </r>
  </si>
  <si>
    <t>Voltage Loop Crossover Frequency</t>
  </si>
  <si>
    <r>
      <t>f</t>
    </r>
    <r>
      <rPr>
        <b/>
        <vertAlign val="subscript"/>
        <sz val="12"/>
        <rFont val="Arial"/>
        <family val="2"/>
      </rPr>
      <t>C</t>
    </r>
  </si>
  <si>
    <t>Load Impedance at 10% Load</t>
  </si>
  <si>
    <r>
      <t>R</t>
    </r>
    <r>
      <rPr>
        <b/>
        <vertAlign val="subscript"/>
        <sz val="12"/>
        <rFont val="Arial"/>
        <family val="2"/>
      </rPr>
      <t>LOAD</t>
    </r>
  </si>
  <si>
    <t>a1*a2*rload/rs</t>
  </si>
  <si>
    <t>Constant</t>
  </si>
  <si>
    <t>n1</t>
  </si>
  <si>
    <t>n1/d1</t>
  </si>
  <si>
    <t>n1divd1</t>
  </si>
  <si>
    <t>1/d2</t>
  </si>
  <si>
    <t>n1/(d1*d2)</t>
  </si>
  <si>
    <t>a1*a2*rload/rs*(n1/(d1*d2))</t>
  </si>
  <si>
    <t>absolute maximum(a1*a2*rload/rs*(n1/(d1*d2)))</t>
  </si>
  <si>
    <t>|Gco(fc)|</t>
  </si>
  <si>
    <t>Calculate Feedback Resistor</t>
  </si>
  <si>
    <r>
      <t>R</t>
    </r>
    <r>
      <rPr>
        <b/>
        <vertAlign val="subscript"/>
        <sz val="12"/>
        <rFont val="Arial"/>
        <family val="2"/>
      </rPr>
      <t>F</t>
    </r>
  </si>
  <si>
    <t>Calculate Zero Capacitor</t>
  </si>
  <si>
    <r>
      <t>C</t>
    </r>
    <r>
      <rPr>
        <b/>
        <vertAlign val="subscript"/>
        <sz val="12"/>
        <rFont val="Arial"/>
        <family val="2"/>
      </rPr>
      <t>Z</t>
    </r>
  </si>
  <si>
    <t>nF</t>
  </si>
  <si>
    <t>Closest Standard Capacitor Value</t>
  </si>
  <si>
    <t>Cz</t>
  </si>
  <si>
    <t>values up to 10 nF</t>
  </si>
  <si>
    <t>values greater than 10nf</t>
  </si>
  <si>
    <t>Select Standard Capacitor Value</t>
  </si>
  <si>
    <t>Calculate Pole Capacitor</t>
  </si>
  <si>
    <r>
      <t>C</t>
    </r>
    <r>
      <rPr>
        <b/>
        <vertAlign val="subscript"/>
        <sz val="12"/>
        <rFont val="Arial"/>
        <family val="2"/>
      </rPr>
      <t>P</t>
    </r>
  </si>
  <si>
    <r>
      <t>Select Soft Start Capacitor (C</t>
    </r>
    <r>
      <rPr>
        <b/>
        <vertAlign val="subscript"/>
        <sz val="12"/>
        <color indexed="9"/>
        <rFont val="Arial"/>
        <family val="2"/>
      </rPr>
      <t>SS</t>
    </r>
    <r>
      <rPr>
        <b/>
        <sz val="12"/>
        <color indexed="9"/>
        <rFont val="Arial"/>
        <family val="2"/>
      </rPr>
      <t>)</t>
    </r>
  </si>
  <si>
    <t>Soft Start Time</t>
  </si>
  <si>
    <r>
      <t>t</t>
    </r>
    <r>
      <rPr>
        <b/>
        <vertAlign val="subscript"/>
        <sz val="12"/>
        <rFont val="Arial"/>
        <family val="2"/>
      </rPr>
      <t>SS</t>
    </r>
  </si>
  <si>
    <t>ms</t>
  </si>
  <si>
    <t>Calculate Soft Start Capacitor</t>
  </si>
  <si>
    <r>
      <t>C</t>
    </r>
    <r>
      <rPr>
        <b/>
        <vertAlign val="subscript"/>
        <sz val="12"/>
        <rFont val="Arial"/>
        <family val="2"/>
      </rPr>
      <t>SS</t>
    </r>
  </si>
  <si>
    <t>values greater than 10 nf</t>
  </si>
  <si>
    <r>
      <t>Setting AB Initial Turn-on Delay (t</t>
    </r>
    <r>
      <rPr>
        <b/>
        <vertAlign val="subscript"/>
        <sz val="12"/>
        <color indexed="9"/>
        <rFont val="Arial"/>
        <family val="2"/>
      </rPr>
      <t>ABSET</t>
    </r>
    <r>
      <rPr>
        <b/>
        <sz val="12"/>
        <color indexed="9"/>
        <rFont val="Arial"/>
        <family val="2"/>
      </rPr>
      <t>)</t>
    </r>
  </si>
  <si>
    <t>Calculate 1/4 LC Tank Frequency and set AB Initial Delay</t>
  </si>
  <si>
    <r>
      <t>t</t>
    </r>
    <r>
      <rPr>
        <b/>
        <vertAlign val="subscript"/>
        <sz val="12"/>
        <rFont val="Arial"/>
        <family val="2"/>
      </rPr>
      <t>ABSET</t>
    </r>
  </si>
  <si>
    <r>
      <t>Enter/Fine Tune t</t>
    </r>
    <r>
      <rPr>
        <b/>
        <vertAlign val="subscript"/>
        <sz val="12"/>
        <rFont val="Arial"/>
        <family val="2"/>
      </rPr>
      <t>ABSET</t>
    </r>
    <r>
      <rPr>
        <b/>
        <sz val="12"/>
        <rFont val="Arial"/>
        <family val="2"/>
      </rPr>
      <t xml:space="preserve"> Based on Valley Switching/ZVS</t>
    </r>
  </si>
  <si>
    <r>
      <t>Select Standard Resistor for R</t>
    </r>
    <r>
      <rPr>
        <b/>
        <vertAlign val="subscript"/>
        <sz val="12"/>
        <rFont val="Arial"/>
        <family val="2"/>
      </rPr>
      <t xml:space="preserve">DA1 </t>
    </r>
    <r>
      <rPr>
        <b/>
        <sz val="12"/>
        <rFont val="Arial"/>
        <family val="2"/>
      </rPr>
      <t>for t</t>
    </r>
    <r>
      <rPr>
        <b/>
        <vertAlign val="subscript"/>
        <sz val="12"/>
        <rFont val="Arial"/>
        <family val="2"/>
      </rPr>
      <t xml:space="preserve">ABSET </t>
    </r>
    <r>
      <rPr>
        <b/>
        <sz val="12"/>
        <rFont val="Arial"/>
        <family val="2"/>
      </rPr>
      <t>Delay Range</t>
    </r>
  </si>
  <si>
    <r>
      <t>R</t>
    </r>
    <r>
      <rPr>
        <b/>
        <vertAlign val="subscript"/>
        <sz val="12"/>
        <rFont val="Arial"/>
        <family val="2"/>
      </rPr>
      <t>DA1</t>
    </r>
  </si>
  <si>
    <t>Calculate Voltage at ADEL pin to Meet Delay Range</t>
  </si>
  <si>
    <r>
      <t>V</t>
    </r>
    <r>
      <rPr>
        <b/>
        <vertAlign val="subscript"/>
        <sz val="12"/>
        <rFont val="Arial"/>
        <family val="2"/>
      </rPr>
      <t>ADEL</t>
    </r>
  </si>
  <si>
    <r>
      <t>Calculate R</t>
    </r>
    <r>
      <rPr>
        <b/>
        <vertAlign val="subscript"/>
        <sz val="12"/>
        <rFont val="Arial"/>
        <family val="2"/>
      </rPr>
      <t>DA2</t>
    </r>
  </si>
  <si>
    <r>
      <t>R</t>
    </r>
    <r>
      <rPr>
        <b/>
        <vertAlign val="subscript"/>
        <sz val="12"/>
        <rFont val="Arial"/>
        <family val="2"/>
      </rPr>
      <t>DA2</t>
    </r>
  </si>
  <si>
    <r>
      <t>Select Standard Resistor for R</t>
    </r>
    <r>
      <rPr>
        <b/>
        <vertAlign val="subscript"/>
        <sz val="12"/>
        <rFont val="Arial"/>
        <family val="2"/>
      </rPr>
      <t xml:space="preserve">DA2 </t>
    </r>
    <r>
      <rPr>
        <b/>
        <sz val="12"/>
        <rFont val="Arial"/>
        <family val="2"/>
      </rPr>
      <t>for t</t>
    </r>
    <r>
      <rPr>
        <b/>
        <vertAlign val="subscript"/>
        <sz val="12"/>
        <rFont val="Arial"/>
        <family val="2"/>
      </rPr>
      <t xml:space="preserve">ABSET </t>
    </r>
    <r>
      <rPr>
        <b/>
        <sz val="12"/>
        <rFont val="Arial"/>
        <family val="2"/>
      </rPr>
      <t>Delay Range</t>
    </r>
  </si>
  <si>
    <r>
      <t>Recalculate V</t>
    </r>
    <r>
      <rPr>
        <b/>
        <vertAlign val="subscript"/>
        <sz val="12"/>
        <rFont val="Arial"/>
        <family val="2"/>
      </rPr>
      <t>ADEL</t>
    </r>
    <r>
      <rPr>
        <b/>
        <sz val="12"/>
        <rFont val="Arial"/>
        <family val="2"/>
      </rPr>
      <t xml:space="preserve"> Based on R</t>
    </r>
    <r>
      <rPr>
        <b/>
        <vertAlign val="subscript"/>
        <sz val="12"/>
        <rFont val="Arial"/>
        <family val="2"/>
      </rPr>
      <t>DA1</t>
    </r>
    <r>
      <rPr>
        <b/>
        <sz val="12"/>
        <rFont val="Arial"/>
        <family val="2"/>
      </rPr>
      <t xml:space="preserve"> and R</t>
    </r>
    <r>
      <rPr>
        <b/>
        <vertAlign val="subscript"/>
        <sz val="12"/>
        <rFont val="Arial"/>
        <family val="2"/>
      </rPr>
      <t>DA2</t>
    </r>
    <r>
      <rPr>
        <b/>
        <sz val="12"/>
        <rFont val="Arial"/>
        <family val="2"/>
      </rPr>
      <t xml:space="preserve"> Selection</t>
    </r>
  </si>
  <si>
    <t>Calculate AB timing resistor</t>
  </si>
  <si>
    <r>
      <t>R</t>
    </r>
    <r>
      <rPr>
        <b/>
        <vertAlign val="subscript"/>
        <sz val="12"/>
        <rFont val="Arial"/>
        <family val="2"/>
      </rPr>
      <t>DELAB</t>
    </r>
  </si>
  <si>
    <t>Select Standard Resistor Value (Between 13K and 90K ohm)</t>
  </si>
  <si>
    <r>
      <t>Setting CD Initial Turn-on Delay (t</t>
    </r>
    <r>
      <rPr>
        <b/>
        <vertAlign val="subscript"/>
        <sz val="12"/>
        <color indexed="9"/>
        <rFont val="Arial"/>
        <family val="2"/>
      </rPr>
      <t>CDSET</t>
    </r>
    <r>
      <rPr>
        <b/>
        <sz val="12"/>
        <color indexed="9"/>
        <rFont val="Arial"/>
        <family val="2"/>
      </rPr>
      <t>)</t>
    </r>
  </si>
  <si>
    <r>
      <t>Set Initial CD delay to AB Delay t</t>
    </r>
    <r>
      <rPr>
        <b/>
        <vertAlign val="subscript"/>
        <sz val="12"/>
        <rFont val="Arial"/>
        <family val="2"/>
      </rPr>
      <t>ABSET</t>
    </r>
    <r>
      <rPr>
        <b/>
        <sz val="12"/>
        <rFont val="Arial"/>
        <family val="2"/>
      </rPr>
      <t xml:space="preserve"> = t</t>
    </r>
    <r>
      <rPr>
        <b/>
        <vertAlign val="subscript"/>
        <sz val="12"/>
        <rFont val="Arial"/>
        <family val="2"/>
      </rPr>
      <t>CDSET</t>
    </r>
  </si>
  <si>
    <r>
      <t>t</t>
    </r>
    <r>
      <rPr>
        <b/>
        <vertAlign val="subscript"/>
        <sz val="12"/>
        <rFont val="Arial"/>
        <family val="2"/>
      </rPr>
      <t>CDSET</t>
    </r>
  </si>
  <si>
    <r>
      <t>R</t>
    </r>
    <r>
      <rPr>
        <b/>
        <vertAlign val="subscript"/>
        <sz val="12"/>
        <rFont val="Arial"/>
        <family val="2"/>
      </rPr>
      <t>DELCD</t>
    </r>
  </si>
  <si>
    <r>
      <t>Setting AF and BE turnoff delay (t</t>
    </r>
    <r>
      <rPr>
        <b/>
        <vertAlign val="subscript"/>
        <sz val="12"/>
        <color indexed="9"/>
        <rFont val="Arial"/>
        <family val="2"/>
      </rPr>
      <t>AFSET</t>
    </r>
    <r>
      <rPr>
        <b/>
        <sz val="12"/>
        <color indexed="9"/>
        <rFont val="Arial"/>
        <family val="2"/>
      </rPr>
      <t>, t</t>
    </r>
    <r>
      <rPr>
        <b/>
        <vertAlign val="subscript"/>
        <sz val="12"/>
        <color indexed="9"/>
        <rFont val="Arial"/>
        <family val="2"/>
      </rPr>
      <t>BESET</t>
    </r>
    <r>
      <rPr>
        <b/>
        <sz val="12"/>
        <color indexed="9"/>
        <rFont val="Arial"/>
        <family val="2"/>
      </rPr>
      <t>)</t>
    </r>
  </si>
  <si>
    <r>
      <t>Set to half of t</t>
    </r>
    <r>
      <rPr>
        <b/>
        <vertAlign val="subscript"/>
        <sz val="12"/>
        <rFont val="Arial"/>
        <family val="2"/>
      </rPr>
      <t>ABSET</t>
    </r>
  </si>
  <si>
    <r>
      <t>t</t>
    </r>
    <r>
      <rPr>
        <b/>
        <vertAlign val="subscript"/>
        <sz val="12"/>
        <rFont val="Arial"/>
        <family val="2"/>
      </rPr>
      <t xml:space="preserve">AFSET </t>
    </r>
    <r>
      <rPr>
        <b/>
        <sz val="12"/>
        <rFont val="Arial"/>
        <family val="2"/>
      </rPr>
      <t>= t</t>
    </r>
    <r>
      <rPr>
        <b/>
        <vertAlign val="subscript"/>
        <sz val="12"/>
        <rFont val="Arial"/>
        <family val="2"/>
      </rPr>
      <t>BESET</t>
    </r>
  </si>
  <si>
    <r>
      <t>Enter/Fine Tune t</t>
    </r>
    <r>
      <rPr>
        <b/>
        <vertAlign val="subscript"/>
        <sz val="12"/>
        <rFont val="Arial"/>
        <family val="2"/>
      </rPr>
      <t xml:space="preserve">AFSET </t>
    </r>
    <r>
      <rPr>
        <b/>
        <sz val="12"/>
        <rFont val="Arial"/>
        <family val="2"/>
      </rPr>
      <t>and t</t>
    </r>
    <r>
      <rPr>
        <b/>
        <vertAlign val="subscript"/>
        <sz val="12"/>
        <rFont val="Arial"/>
        <family val="2"/>
      </rPr>
      <t>AFSET</t>
    </r>
  </si>
  <si>
    <r>
      <t>Select Standard Resistor for R</t>
    </r>
    <r>
      <rPr>
        <b/>
        <vertAlign val="subscript"/>
        <sz val="12"/>
        <rFont val="Arial"/>
        <family val="2"/>
      </rPr>
      <t xml:space="preserve">CA1 </t>
    </r>
    <r>
      <rPr>
        <b/>
        <sz val="12"/>
        <rFont val="Arial"/>
        <family val="2"/>
      </rPr>
      <t>for t</t>
    </r>
    <r>
      <rPr>
        <b/>
        <vertAlign val="subscript"/>
        <sz val="12"/>
        <rFont val="Arial"/>
        <family val="2"/>
      </rPr>
      <t xml:space="preserve">AFSET </t>
    </r>
    <r>
      <rPr>
        <b/>
        <sz val="12"/>
        <rFont val="Arial"/>
        <family val="2"/>
      </rPr>
      <t>Delay Range</t>
    </r>
  </si>
  <si>
    <r>
      <t>R</t>
    </r>
    <r>
      <rPr>
        <b/>
        <vertAlign val="subscript"/>
        <sz val="12"/>
        <rFont val="Arial"/>
        <family val="2"/>
      </rPr>
      <t>CA1</t>
    </r>
  </si>
  <si>
    <t>Calculate Voltage at ADELEF pin to Meet Delay Range</t>
  </si>
  <si>
    <r>
      <t>V</t>
    </r>
    <r>
      <rPr>
        <b/>
        <vertAlign val="subscript"/>
        <sz val="12"/>
        <rFont val="Arial"/>
        <family val="2"/>
      </rPr>
      <t>ADELEF</t>
    </r>
  </si>
  <si>
    <r>
      <t>Calculate R</t>
    </r>
    <r>
      <rPr>
        <b/>
        <vertAlign val="subscript"/>
        <sz val="12"/>
        <rFont val="Arial"/>
        <family val="2"/>
      </rPr>
      <t>CA2</t>
    </r>
  </si>
  <si>
    <r>
      <t>R</t>
    </r>
    <r>
      <rPr>
        <b/>
        <vertAlign val="subscript"/>
        <sz val="12"/>
        <rFont val="Arial"/>
        <family val="2"/>
      </rPr>
      <t>CA2</t>
    </r>
  </si>
  <si>
    <r>
      <t>R</t>
    </r>
    <r>
      <rPr>
        <b/>
        <vertAlign val="subscript"/>
        <sz val="12"/>
        <rFont val="Arial"/>
        <family val="2"/>
      </rPr>
      <t>DELEF</t>
    </r>
  </si>
  <si>
    <t>Select Standard Resistor Value(Between 13K and 90K ohm)</t>
  </si>
  <si>
    <t>Setting Minimum on Time</t>
  </si>
  <si>
    <t>Minimum on Time</t>
  </si>
  <si>
    <r>
      <t>t</t>
    </r>
    <r>
      <rPr>
        <b/>
        <vertAlign val="subscript"/>
        <sz val="12"/>
        <rFont val="Arial"/>
        <family val="2"/>
      </rPr>
      <t>MIN</t>
    </r>
  </si>
  <si>
    <r>
      <t>Calculate R</t>
    </r>
    <r>
      <rPr>
        <b/>
        <vertAlign val="subscript"/>
        <sz val="12"/>
        <rFont val="Arial"/>
        <family val="2"/>
      </rPr>
      <t>TMIN</t>
    </r>
  </si>
  <si>
    <r>
      <t>R</t>
    </r>
    <r>
      <rPr>
        <b/>
        <vertAlign val="subscript"/>
        <sz val="12"/>
        <rFont val="Arial"/>
        <family val="2"/>
      </rPr>
      <t>TMIN</t>
    </r>
  </si>
  <si>
    <t>Setup PWM Switching Frequency</t>
  </si>
  <si>
    <r>
      <t>Calculate R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Value</t>
    </r>
  </si>
  <si>
    <r>
      <t>R</t>
    </r>
    <r>
      <rPr>
        <b/>
        <vertAlign val="subscript"/>
        <sz val="12"/>
        <rFont val="Arial"/>
        <family val="2"/>
      </rPr>
      <t>T</t>
    </r>
  </si>
  <si>
    <t>Setup Slope Compensation</t>
  </si>
  <si>
    <r>
      <t>Calculate Magnetizing Current during I</t>
    </r>
    <r>
      <rPr>
        <b/>
        <vertAlign val="subscript"/>
        <sz val="12"/>
        <rFont val="Arial"/>
        <family val="2"/>
      </rPr>
      <t>LOUT</t>
    </r>
    <r>
      <rPr>
        <b/>
        <sz val="12"/>
        <rFont val="Arial"/>
        <family val="2"/>
      </rPr>
      <t xml:space="preserve"> down slope</t>
    </r>
  </si>
  <si>
    <r>
      <t>dIL</t>
    </r>
    <r>
      <rPr>
        <b/>
        <vertAlign val="subscript"/>
        <sz val="12"/>
        <rFont val="Arial"/>
        <family val="2"/>
      </rPr>
      <t>MAG</t>
    </r>
  </si>
  <si>
    <r>
      <t>Calculate V</t>
    </r>
    <r>
      <rPr>
        <b/>
        <vertAlign val="subscript"/>
        <sz val="12"/>
        <rFont val="Arial"/>
        <family val="2"/>
      </rPr>
      <t>SLOPE1</t>
    </r>
  </si>
  <si>
    <r>
      <t>V</t>
    </r>
    <r>
      <rPr>
        <b/>
        <vertAlign val="subscript"/>
        <sz val="12"/>
        <rFont val="Arial"/>
        <family val="2"/>
      </rPr>
      <t>SLOPE1</t>
    </r>
  </si>
  <si>
    <t>V/us</t>
  </si>
  <si>
    <r>
      <t>Calculate V</t>
    </r>
    <r>
      <rPr>
        <b/>
        <vertAlign val="subscript"/>
        <sz val="12"/>
        <rFont val="Arial"/>
        <family val="2"/>
      </rPr>
      <t>SLOPE2</t>
    </r>
  </si>
  <si>
    <r>
      <t>V</t>
    </r>
    <r>
      <rPr>
        <b/>
        <vertAlign val="subscript"/>
        <sz val="12"/>
        <rFont val="Arial"/>
        <family val="2"/>
      </rPr>
      <t>SLOPE2</t>
    </r>
  </si>
  <si>
    <r>
      <t>Calculate V</t>
    </r>
    <r>
      <rPr>
        <b/>
        <vertAlign val="subscript"/>
        <sz val="12"/>
        <rFont val="Arial"/>
        <family val="2"/>
      </rPr>
      <t>SLOPE</t>
    </r>
  </si>
  <si>
    <r>
      <t>V</t>
    </r>
    <r>
      <rPr>
        <b/>
        <vertAlign val="subscript"/>
        <sz val="12"/>
        <rFont val="Arial"/>
        <family val="2"/>
      </rPr>
      <t>SLOPE</t>
    </r>
  </si>
  <si>
    <r>
      <t>Calculate R</t>
    </r>
    <r>
      <rPr>
        <b/>
        <vertAlign val="subscript"/>
        <sz val="12"/>
        <rFont val="Arial"/>
        <family val="2"/>
      </rPr>
      <t>SUM</t>
    </r>
  </si>
  <si>
    <r>
      <t>R</t>
    </r>
    <r>
      <rPr>
        <b/>
        <vertAlign val="subscript"/>
        <sz val="12"/>
        <rFont val="Arial"/>
        <family val="2"/>
      </rPr>
      <t>SUM</t>
    </r>
  </si>
  <si>
    <t>Setup DCM Comparator</t>
  </si>
  <si>
    <r>
      <t>Voltage across R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 xml:space="preserve"> at 15% load</t>
    </r>
  </si>
  <si>
    <r>
      <t>V</t>
    </r>
    <r>
      <rPr>
        <b/>
        <vertAlign val="subscript"/>
        <sz val="12"/>
        <rFont val="Arial"/>
        <family val="2"/>
      </rPr>
      <t>RS</t>
    </r>
  </si>
  <si>
    <r>
      <t>R</t>
    </r>
    <r>
      <rPr>
        <b/>
        <vertAlign val="subscript"/>
        <sz val="12"/>
        <rFont val="Arial"/>
        <family val="2"/>
      </rPr>
      <t>G</t>
    </r>
  </si>
  <si>
    <r>
      <t>Calculate R</t>
    </r>
    <r>
      <rPr>
        <b/>
        <vertAlign val="subscript"/>
        <sz val="12"/>
        <rFont val="Arial"/>
        <family val="2"/>
      </rPr>
      <t xml:space="preserve">E </t>
    </r>
  </si>
  <si>
    <r>
      <t>R</t>
    </r>
    <r>
      <rPr>
        <b/>
        <vertAlign val="subscript"/>
        <sz val="12"/>
        <rFont val="Arial"/>
        <family val="2"/>
      </rPr>
      <t>E</t>
    </r>
  </si>
  <si>
    <t>Counter</t>
  </si>
  <si>
    <t>Frequency</t>
  </si>
  <si>
    <t>Gco n1/d1</t>
  </si>
  <si>
    <t>Gco 1/d2</t>
  </si>
  <si>
    <t>Gco n1/(d1*d2)</t>
  </si>
  <si>
    <t>Gco(f)</t>
  </si>
  <si>
    <t>|Gco(f)|</t>
  </si>
  <si>
    <t>Gc n1/n1</t>
  </si>
  <si>
    <t>Gc 1/n2</t>
  </si>
  <si>
    <t>Gc(f)</t>
  </si>
  <si>
    <t>Gc(f)*Gco(f)</t>
  </si>
  <si>
    <t>TvdB(f)</t>
  </si>
  <si>
    <r>
      <t>ӨT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(f)</t>
    </r>
  </si>
  <si>
    <t>ӨTv(f)</t>
  </si>
  <si>
    <t>TvdB(f)
MathCad Check</t>
  </si>
  <si>
    <r>
      <t>ӨT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(f)
MathCAD
Check</t>
    </r>
  </si>
  <si>
    <t>frequency</t>
  </si>
  <si>
    <t>Std. Resistors</t>
  </si>
  <si>
    <t>Capacitors</t>
  </si>
  <si>
    <t>Enter resistor value</t>
  </si>
  <si>
    <t>E6</t>
  </si>
  <si>
    <t>E96</t>
  </si>
  <si>
    <t>Cap value</t>
  </si>
  <si>
    <t>Closest E6 Value</t>
  </si>
  <si>
    <t>Closest E12 Value</t>
  </si>
  <si>
    <t>C values up to 10nF</t>
  </si>
  <si>
    <t>Closest E24 Value</t>
  </si>
  <si>
    <t>Closest E48 Value</t>
  </si>
  <si>
    <t>Closest E96 Value</t>
  </si>
  <si>
    <t>E12</t>
  </si>
  <si>
    <t>C values greater than 10nF</t>
  </si>
  <si>
    <t>E24</t>
  </si>
  <si>
    <t>E48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</si>
</sst>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0%"/>
    <numFmt numFmtId="167" formatCode="0.0"/>
    <numFmt numFmtId="168" formatCode="0"/>
    <numFmt numFmtId="169" formatCode="0.00"/>
    <numFmt numFmtId="170" formatCode="0.E+00"/>
    <numFmt numFmtId="171" formatCode="0.000"/>
    <numFmt numFmtId="172" formatCode="#,##0.0"/>
    <numFmt numFmtId="173" formatCode="0.00E+00"/>
    <numFmt numFmtId="174" formatCode="@"/>
  </numFmts>
  <fonts count="28">
    <font>
      <sz val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color indexed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vertAlign val="subscript"/>
      <sz val="10"/>
      <name val="Arial"/>
      <family val="2"/>
    </font>
    <font>
      <b/>
      <sz val="9.7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 wrapText="1"/>
    </xf>
    <xf numFmtId="164" fontId="0" fillId="2" borderId="0" xfId="0" applyFill="1" applyBorder="1" applyAlignment="1">
      <alignment horizontal="center"/>
    </xf>
    <xf numFmtId="164" fontId="2" fillId="2" borderId="0" xfId="0" applyFont="1" applyFill="1" applyBorder="1" applyAlignment="1">
      <alignment horizontal="left" vertical="center"/>
    </xf>
    <xf numFmtId="164" fontId="2" fillId="2" borderId="0" xfId="0" applyFont="1" applyFill="1" applyAlignment="1">
      <alignment vertical="center"/>
    </xf>
    <xf numFmtId="164" fontId="2" fillId="2" borderId="0" xfId="0" applyFont="1" applyFill="1" applyBorder="1" applyAlignment="1">
      <alignment horizontal="left" vertical="center" wrapText="1"/>
    </xf>
    <xf numFmtId="164" fontId="2" fillId="2" borderId="0" xfId="0" applyFont="1" applyFill="1" applyAlignment="1">
      <alignment horizontal="left" vertical="center" wrapText="1"/>
    </xf>
    <xf numFmtId="164" fontId="3" fillId="0" borderId="1" xfId="0" applyFont="1" applyBorder="1" applyAlignment="1" applyProtection="1">
      <alignment horizontal="left"/>
      <protection/>
    </xf>
    <xf numFmtId="165" fontId="3" fillId="0" borderId="1" xfId="0" applyNumberFormat="1" applyFont="1" applyBorder="1" applyAlignment="1" applyProtection="1">
      <alignment horizontal="left"/>
      <protection/>
    </xf>
    <xf numFmtId="164" fontId="4" fillId="3" borderId="1" xfId="0" applyFont="1" applyFill="1" applyBorder="1" applyAlignment="1" applyProtection="1">
      <alignment horizontal="left"/>
      <protection/>
    </xf>
    <xf numFmtId="165" fontId="4" fillId="3" borderId="1" xfId="0" applyNumberFormat="1" applyFont="1" applyFill="1" applyBorder="1" applyAlignment="1" applyProtection="1">
      <alignment horizontal="left"/>
      <protection/>
    </xf>
    <xf numFmtId="164" fontId="5" fillId="4" borderId="1" xfId="0" applyFont="1" applyFill="1" applyBorder="1" applyAlignment="1" applyProtection="1">
      <alignment horizontal="left"/>
      <protection/>
    </xf>
    <xf numFmtId="165" fontId="5" fillId="4" borderId="1" xfId="0" applyNumberFormat="1" applyFont="1" applyFill="1" applyBorder="1" applyAlignment="1" applyProtection="1">
      <alignment horizontal="left"/>
      <protection/>
    </xf>
    <xf numFmtId="164" fontId="4" fillId="5" borderId="1" xfId="0" applyFont="1" applyFill="1" applyBorder="1" applyAlignment="1" applyProtection="1">
      <alignment horizontal="left"/>
      <protection/>
    </xf>
    <xf numFmtId="165" fontId="4" fillId="5" borderId="1" xfId="0" applyNumberFormat="1" applyFont="1" applyFill="1" applyBorder="1" applyAlignment="1" applyProtection="1">
      <alignment horizontal="left"/>
      <protection/>
    </xf>
    <xf numFmtId="164" fontId="3" fillId="6" borderId="1" xfId="0" applyFont="1" applyFill="1" applyBorder="1" applyAlignment="1" applyProtection="1">
      <alignment horizontal="left"/>
      <protection/>
    </xf>
    <xf numFmtId="164" fontId="3" fillId="4" borderId="1" xfId="0" applyFont="1" applyFill="1" applyBorder="1" applyAlignment="1" applyProtection="1">
      <alignment horizontal="left"/>
      <protection locked="0"/>
    </xf>
    <xf numFmtId="164" fontId="6" fillId="0" borderId="1" xfId="0" applyFont="1" applyBorder="1" applyAlignment="1" applyProtection="1">
      <alignment horizontal="left"/>
      <protection/>
    </xf>
    <xf numFmtId="164" fontId="7" fillId="6" borderId="1" xfId="0" applyFont="1" applyFill="1" applyBorder="1" applyAlignment="1" applyProtection="1">
      <alignment horizontal="left"/>
      <protection/>
    </xf>
    <xf numFmtId="164" fontId="3" fillId="0" borderId="1" xfId="0" applyFont="1" applyBorder="1" applyAlignment="1" applyProtection="1">
      <alignment horizontal="left" wrapText="1"/>
      <protection/>
    </xf>
    <xf numFmtId="166" fontId="3" fillId="4" borderId="1" xfId="0" applyNumberFormat="1" applyFont="1" applyFill="1" applyBorder="1" applyAlignment="1" applyProtection="1">
      <alignment horizontal="left"/>
      <protection locked="0"/>
    </xf>
    <xf numFmtId="164" fontId="7" fillId="0" borderId="1" xfId="0" applyFont="1" applyBorder="1" applyAlignment="1" applyProtection="1">
      <alignment horizontal="left"/>
      <protection/>
    </xf>
    <xf numFmtId="164" fontId="3" fillId="7" borderId="1" xfId="0" applyFont="1" applyFill="1" applyBorder="1" applyAlignment="1" applyProtection="1">
      <alignment horizontal="left"/>
      <protection/>
    </xf>
    <xf numFmtId="164" fontId="4" fillId="8" borderId="1" xfId="0" applyFont="1" applyFill="1" applyBorder="1" applyAlignment="1" applyProtection="1">
      <alignment horizontal="left"/>
      <protection/>
    </xf>
    <xf numFmtId="167" fontId="3" fillId="0" borderId="1" xfId="0" applyNumberFormat="1" applyFont="1" applyBorder="1" applyAlignment="1" applyProtection="1">
      <alignment horizontal="left"/>
      <protection/>
    </xf>
    <xf numFmtId="166" fontId="3" fillId="0" borderId="1" xfId="0" applyNumberFormat="1" applyFont="1" applyBorder="1" applyAlignment="1" applyProtection="1">
      <alignment horizontal="left"/>
      <protection/>
    </xf>
    <xf numFmtId="168" fontId="3" fillId="0" borderId="1" xfId="0" applyNumberFormat="1" applyFont="1" applyBorder="1" applyAlignment="1" applyProtection="1">
      <alignment horizontal="left"/>
      <protection/>
    </xf>
    <xf numFmtId="168" fontId="3" fillId="4" borderId="1" xfId="0" applyNumberFormat="1" applyFont="1" applyFill="1" applyBorder="1" applyAlignment="1" applyProtection="1">
      <alignment horizontal="left"/>
      <protection locked="0"/>
    </xf>
    <xf numFmtId="169" fontId="3" fillId="0" borderId="1" xfId="0" applyNumberFormat="1" applyFont="1" applyBorder="1" applyAlignment="1" applyProtection="1">
      <alignment horizontal="left"/>
      <protection/>
    </xf>
    <xf numFmtId="169" fontId="7" fillId="0" borderId="1" xfId="0" applyNumberFormat="1" applyFont="1" applyBorder="1" applyAlignment="1" applyProtection="1">
      <alignment horizontal="left"/>
      <protection/>
    </xf>
    <xf numFmtId="164" fontId="3" fillId="0" borderId="1" xfId="0" applyFont="1" applyBorder="1" applyAlignment="1" applyProtection="1">
      <alignment horizontal="left"/>
      <protection locked="0"/>
    </xf>
    <xf numFmtId="169" fontId="3" fillId="4" borderId="1" xfId="0" applyNumberFormat="1" applyFont="1" applyFill="1" applyBorder="1" applyAlignment="1" applyProtection="1">
      <alignment horizontal="left"/>
      <protection locked="0"/>
    </xf>
    <xf numFmtId="164" fontId="5" fillId="0" borderId="1" xfId="0" applyFont="1" applyBorder="1" applyAlignment="1" applyProtection="1">
      <alignment horizontal="left"/>
      <protection/>
    </xf>
    <xf numFmtId="164" fontId="3" fillId="8" borderId="1" xfId="0" applyFont="1" applyFill="1" applyBorder="1" applyAlignment="1" applyProtection="1">
      <alignment horizontal="left"/>
      <protection/>
    </xf>
    <xf numFmtId="167" fontId="3" fillId="8" borderId="1" xfId="0" applyNumberFormat="1" applyFont="1" applyFill="1" applyBorder="1" applyAlignment="1" applyProtection="1">
      <alignment horizontal="left"/>
      <protection/>
    </xf>
    <xf numFmtId="167" fontId="3" fillId="6" borderId="1" xfId="0" applyNumberFormat="1" applyFont="1" applyFill="1" applyBorder="1" applyAlignment="1" applyProtection="1">
      <alignment horizontal="left"/>
      <protection/>
    </xf>
    <xf numFmtId="170" fontId="3" fillId="0" borderId="1" xfId="0" applyNumberFormat="1" applyFont="1" applyBorder="1" applyAlignment="1" applyProtection="1">
      <alignment horizontal="left"/>
      <protection/>
    </xf>
    <xf numFmtId="167" fontId="4" fillId="8" borderId="1" xfId="0" applyNumberFormat="1" applyFont="1" applyFill="1" applyBorder="1" applyAlignment="1" applyProtection="1">
      <alignment horizontal="left"/>
      <protection/>
    </xf>
    <xf numFmtId="164" fontId="10" fillId="0" borderId="1" xfId="0" applyFont="1" applyBorder="1" applyAlignment="1" applyProtection="1">
      <alignment horizontal="left"/>
      <protection/>
    </xf>
    <xf numFmtId="164" fontId="10" fillId="0" borderId="1" xfId="0" applyFont="1" applyFill="1" applyBorder="1" applyAlignment="1" applyProtection="1">
      <alignment horizontal="left"/>
      <protection/>
    </xf>
    <xf numFmtId="164" fontId="5" fillId="6" borderId="1" xfId="0" applyFont="1" applyFill="1" applyBorder="1" applyAlignment="1" applyProtection="1">
      <alignment horizontal="left"/>
      <protection/>
    </xf>
    <xf numFmtId="164" fontId="11" fillId="0" borderId="1" xfId="0" applyFont="1" applyBorder="1" applyAlignment="1" applyProtection="1">
      <alignment horizontal="left"/>
      <protection/>
    </xf>
    <xf numFmtId="164" fontId="3" fillId="6" borderId="1" xfId="0" applyFont="1" applyFill="1" applyBorder="1" applyAlignment="1" applyProtection="1">
      <alignment horizontal="left" wrapText="1"/>
      <protection/>
    </xf>
    <xf numFmtId="168" fontId="3" fillId="6" borderId="1" xfId="0" applyNumberFormat="1" applyFont="1" applyFill="1" applyBorder="1" applyAlignment="1" applyProtection="1">
      <alignment horizontal="left"/>
      <protection/>
    </xf>
    <xf numFmtId="164" fontId="10" fillId="6" borderId="1" xfId="0" applyFont="1" applyFill="1" applyBorder="1" applyAlignment="1" applyProtection="1">
      <alignment horizontal="left" wrapText="1"/>
      <protection/>
    </xf>
    <xf numFmtId="171" fontId="3" fillId="6" borderId="1" xfId="0" applyNumberFormat="1" applyFont="1" applyFill="1" applyBorder="1" applyAlignment="1" applyProtection="1">
      <alignment horizontal="left"/>
      <protection/>
    </xf>
    <xf numFmtId="171" fontId="3" fillId="4" borderId="1" xfId="0" applyNumberFormat="1" applyFont="1" applyFill="1" applyBorder="1" applyAlignment="1" applyProtection="1">
      <alignment horizontal="left"/>
      <protection locked="0"/>
    </xf>
    <xf numFmtId="169" fontId="3" fillId="6" borderId="1" xfId="0" applyNumberFormat="1" applyFont="1" applyFill="1" applyBorder="1" applyAlignment="1" applyProtection="1">
      <alignment horizontal="left"/>
      <protection/>
    </xf>
    <xf numFmtId="171" fontId="3" fillId="0" borderId="1" xfId="0" applyNumberFormat="1" applyFont="1" applyBorder="1" applyAlignment="1" applyProtection="1">
      <alignment horizontal="left"/>
      <protection/>
    </xf>
    <xf numFmtId="167" fontId="3" fillId="4" borderId="1" xfId="0" applyNumberFormat="1" applyFont="1" applyFill="1" applyBorder="1" applyAlignment="1" applyProtection="1">
      <alignment horizontal="left"/>
      <protection locked="0"/>
    </xf>
    <xf numFmtId="164" fontId="3" fillId="8" borderId="1" xfId="0" applyFont="1" applyFill="1" applyBorder="1" applyAlignment="1" applyProtection="1">
      <alignment horizontal="left" wrapText="1"/>
      <protection/>
    </xf>
    <xf numFmtId="172" fontId="3" fillId="0" borderId="1" xfId="0" applyNumberFormat="1" applyFont="1" applyBorder="1" applyAlignment="1" applyProtection="1">
      <alignment horizontal="left"/>
      <protection/>
    </xf>
    <xf numFmtId="173" fontId="3" fillId="0" borderId="1" xfId="0" applyNumberFormat="1" applyFont="1" applyBorder="1" applyAlignment="1" applyProtection="1">
      <alignment horizontal="left"/>
      <protection/>
    </xf>
    <xf numFmtId="173" fontId="3" fillId="6" borderId="1" xfId="0" applyNumberFormat="1" applyFont="1" applyFill="1" applyBorder="1" applyAlignment="1" applyProtection="1">
      <alignment horizontal="left"/>
      <protection/>
    </xf>
    <xf numFmtId="167" fontId="3" fillId="0" borderId="1" xfId="0" applyNumberFormat="1" applyFont="1" applyBorder="1" applyAlignment="1">
      <alignment horizontal="left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left"/>
    </xf>
    <xf numFmtId="171" fontId="0" fillId="0" borderId="1" xfId="0" applyNumberFormat="1" applyBorder="1" applyAlignment="1">
      <alignment/>
    </xf>
    <xf numFmtId="164" fontId="10" fillId="0" borderId="1" xfId="0" applyFont="1" applyBorder="1" applyAlignment="1">
      <alignment/>
    </xf>
    <xf numFmtId="164" fontId="16" fillId="6" borderId="0" xfId="0" applyFont="1" applyFill="1" applyAlignment="1" applyProtection="1">
      <alignment/>
      <protection hidden="1"/>
    </xf>
    <xf numFmtId="164" fontId="0" fillId="6" borderId="0" xfId="0" applyFont="1" applyFill="1" applyAlignment="1" applyProtection="1">
      <alignment/>
      <protection hidden="1"/>
    </xf>
    <xf numFmtId="164" fontId="0" fillId="6" borderId="0" xfId="0" applyFont="1" applyFill="1" applyBorder="1" applyAlignment="1" applyProtection="1">
      <alignment/>
      <protection hidden="1"/>
    </xf>
    <xf numFmtId="174" fontId="0" fillId="6" borderId="0" xfId="0" applyNumberFormat="1" applyFont="1" applyFill="1" applyBorder="1" applyAlignment="1" applyProtection="1">
      <alignment/>
      <protection hidden="1"/>
    </xf>
    <xf numFmtId="164" fontId="0" fillId="6" borderId="0" xfId="0" applyFont="1" applyFill="1" applyAlignment="1">
      <alignment/>
    </xf>
    <xf numFmtId="164" fontId="0" fillId="6" borderId="0" xfId="0" applyFill="1" applyAlignment="1" applyProtection="1">
      <alignment/>
      <protection hidden="1"/>
    </xf>
    <xf numFmtId="164" fontId="17" fillId="6" borderId="0" xfId="0" applyFont="1" applyFill="1" applyAlignment="1" applyProtection="1">
      <alignment/>
      <protection hidden="1"/>
    </xf>
    <xf numFmtId="164" fontId="18" fillId="6" borderId="0" xfId="0" applyFont="1" applyFill="1" applyBorder="1" applyAlignment="1" applyProtection="1">
      <alignment/>
      <protection hidden="1"/>
    </xf>
    <xf numFmtId="164" fontId="16" fillId="6" borderId="2" xfId="0" applyFont="1" applyFill="1" applyBorder="1" applyAlignment="1" applyProtection="1">
      <alignment/>
      <protection hidden="1"/>
    </xf>
    <xf numFmtId="164" fontId="0" fillId="6" borderId="3" xfId="0" applyFont="1" applyFill="1" applyBorder="1" applyAlignment="1" applyProtection="1">
      <alignment/>
      <protection hidden="1"/>
    </xf>
    <xf numFmtId="164" fontId="19" fillId="9" borderId="4" xfId="0" applyFont="1" applyFill="1" applyBorder="1" applyAlignment="1" applyProtection="1">
      <alignment/>
      <protection hidden="1"/>
    </xf>
    <xf numFmtId="164" fontId="20" fillId="10" borderId="5" xfId="0" applyFont="1" applyFill="1" applyBorder="1" applyAlignment="1">
      <alignment horizontal="center" wrapText="1"/>
    </xf>
    <xf numFmtId="164" fontId="20" fillId="11" borderId="6" xfId="0" applyFont="1" applyFill="1" applyBorder="1" applyAlignment="1">
      <alignment horizontal="center" wrapText="1"/>
    </xf>
    <xf numFmtId="168" fontId="16" fillId="6" borderId="0" xfId="0" applyNumberFormat="1" applyFont="1" applyFill="1" applyBorder="1" applyAlignment="1" applyProtection="1">
      <alignment/>
      <protection hidden="1"/>
    </xf>
    <xf numFmtId="168" fontId="21" fillId="12" borderId="7" xfId="0" applyNumberFormat="1" applyFont="1" applyFill="1" applyBorder="1" applyAlignment="1" applyProtection="1">
      <alignment horizontal="center"/>
      <protection hidden="1"/>
    </xf>
    <xf numFmtId="164" fontId="21" fillId="12" borderId="8" xfId="0" applyFont="1" applyFill="1" applyBorder="1" applyAlignment="1" applyProtection="1">
      <alignment/>
      <protection hidden="1"/>
    </xf>
    <xf numFmtId="171" fontId="22" fillId="6" borderId="0" xfId="0" applyNumberFormat="1" applyFont="1" applyFill="1" applyBorder="1" applyAlignment="1" applyProtection="1">
      <alignment horizontal="center"/>
      <protection hidden="1"/>
    </xf>
    <xf numFmtId="164" fontId="20" fillId="10" borderId="6" xfId="0" applyFont="1" applyFill="1" applyBorder="1" applyAlignment="1">
      <alignment horizontal="center" wrapText="1"/>
    </xf>
    <xf numFmtId="164" fontId="20" fillId="11" borderId="9" xfId="0" applyFont="1" applyFill="1" applyBorder="1" applyAlignment="1">
      <alignment horizontal="center" wrapText="1"/>
    </xf>
    <xf numFmtId="164" fontId="19" fillId="9" borderId="10" xfId="0" applyFont="1" applyFill="1" applyBorder="1" applyAlignment="1" applyProtection="1">
      <alignment horizontal="center"/>
      <protection hidden="1"/>
    </xf>
    <xf numFmtId="164" fontId="19" fillId="9" borderId="11" xfId="0" applyFont="1" applyFill="1" applyBorder="1" applyAlignment="1" applyProtection="1">
      <alignment/>
      <protection hidden="1"/>
    </xf>
    <xf numFmtId="164" fontId="23" fillId="6" borderId="0" xfId="0" applyFont="1" applyFill="1" applyBorder="1" applyAlignment="1" applyProtection="1">
      <alignment horizontal="center" wrapText="1"/>
      <protection hidden="1"/>
    </xf>
    <xf numFmtId="164" fontId="0" fillId="6" borderId="12" xfId="0" applyFont="1" applyFill="1" applyBorder="1" applyAlignment="1" applyProtection="1">
      <alignment/>
      <protection hidden="1"/>
    </xf>
    <xf numFmtId="167" fontId="21" fillId="12" borderId="13" xfId="0" applyNumberFormat="1" applyFont="1" applyFill="1" applyBorder="1" applyAlignment="1" applyProtection="1">
      <alignment/>
      <protection hidden="1"/>
    </xf>
    <xf numFmtId="168" fontId="24" fillId="6" borderId="0" xfId="0" applyNumberFormat="1" applyFont="1" applyFill="1" applyBorder="1" applyAlignment="1" applyProtection="1">
      <alignment/>
      <protection hidden="1"/>
    </xf>
    <xf numFmtId="169" fontId="24" fillId="6" borderId="0" xfId="0" applyNumberFormat="1" applyFont="1" applyFill="1" applyBorder="1" applyAlignment="1" applyProtection="1">
      <alignment horizontal="center"/>
      <protection hidden="1"/>
    </xf>
    <xf numFmtId="164" fontId="0" fillId="6" borderId="14" xfId="0" applyFont="1" applyFill="1" applyBorder="1" applyAlignment="1" applyProtection="1">
      <alignment/>
      <protection hidden="1"/>
    </xf>
    <xf numFmtId="167" fontId="21" fillId="12" borderId="15" xfId="0" applyNumberFormat="1" applyFont="1" applyFill="1" applyBorder="1" applyAlignment="1" applyProtection="1">
      <alignment/>
      <protection hidden="1"/>
    </xf>
    <xf numFmtId="164" fontId="25" fillId="6" borderId="0" xfId="0" applyFont="1" applyFill="1" applyBorder="1" applyAlignment="1" applyProtection="1">
      <alignment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4" fontId="16" fillId="6" borderId="0" xfId="0" applyFont="1" applyFill="1" applyBorder="1" applyAlignment="1" applyProtection="1">
      <alignment/>
      <protection hidden="1"/>
    </xf>
    <xf numFmtId="168" fontId="0" fillId="6" borderId="0" xfId="0" applyNumberFormat="1" applyFont="1" applyFill="1" applyBorder="1" applyAlignment="1" applyProtection="1">
      <alignment/>
      <protection/>
    </xf>
    <xf numFmtId="164" fontId="0" fillId="6" borderId="16" xfId="0" applyFont="1" applyFill="1" applyBorder="1" applyAlignment="1" applyProtection="1">
      <alignment/>
      <protection hidden="1"/>
    </xf>
    <xf numFmtId="167" fontId="21" fillId="12" borderId="17" xfId="0" applyNumberFormat="1" applyFont="1" applyFill="1" applyBorder="1" applyAlignment="1" applyProtection="1">
      <alignment/>
      <protection hidden="1"/>
    </xf>
    <xf numFmtId="164" fontId="20" fillId="13" borderId="5" xfId="0" applyFont="1" applyFill="1" applyBorder="1" applyAlignment="1">
      <alignment horizontal="center" wrapText="1"/>
    </xf>
    <xf numFmtId="164" fontId="20" fillId="13" borderId="6" xfId="0" applyFont="1" applyFill="1" applyBorder="1" applyAlignment="1">
      <alignment horizontal="center" wrapText="1"/>
    </xf>
    <xf numFmtId="164" fontId="21" fillId="6" borderId="0" xfId="0" applyFont="1" applyFill="1" applyBorder="1" applyAlignment="1" applyProtection="1">
      <alignment/>
      <protection hidden="1"/>
    </xf>
    <xf numFmtId="164" fontId="0" fillId="6" borderId="0" xfId="0" applyFont="1" applyFill="1" applyBorder="1" applyAlignment="1" applyProtection="1">
      <alignment horizontal="center"/>
      <protection hidden="1"/>
    </xf>
    <xf numFmtId="164" fontId="0" fillId="6" borderId="0" xfId="0" applyFill="1" applyBorder="1" applyAlignment="1">
      <alignment wrapText="1"/>
    </xf>
    <xf numFmtId="164" fontId="0" fillId="6" borderId="0" xfId="0" applyFill="1" applyBorder="1" applyAlignment="1">
      <alignment horizontal="center"/>
    </xf>
    <xf numFmtId="164" fontId="20" fillId="13" borderId="18" xfId="0" applyFont="1" applyFill="1" applyBorder="1" applyAlignment="1">
      <alignment horizontal="center" wrapText="1"/>
    </xf>
    <xf numFmtId="174" fontId="26" fillId="12" borderId="19" xfId="0" applyNumberFormat="1" applyFont="1" applyFill="1" applyBorder="1" applyAlignment="1">
      <alignment horizontal="center" wrapText="1"/>
    </xf>
    <xf numFmtId="174" fontId="26" fillId="12" borderId="6" xfId="0" applyNumberFormat="1" applyFont="1" applyFill="1" applyBorder="1" applyAlignment="1">
      <alignment horizontal="center" wrapText="1"/>
    </xf>
    <xf numFmtId="174" fontId="26" fillId="12" borderId="5" xfId="0" applyNumberFormat="1" applyFont="1" applyFill="1" applyBorder="1" applyAlignment="1">
      <alignment horizontal="center" wrapText="1"/>
    </xf>
    <xf numFmtId="164" fontId="27" fillId="6" borderId="0" xfId="0" applyFont="1" applyFill="1" applyAlignment="1">
      <alignment/>
    </xf>
    <xf numFmtId="174" fontId="0" fillId="6" borderId="0" xfId="0" applyNumberFormat="1" applyFill="1" applyBorder="1" applyAlignment="1" applyProtection="1">
      <alignment/>
      <protection/>
    </xf>
    <xf numFmtId="174" fontId="26" fillId="12" borderId="9" xfId="0" applyNumberFormat="1" applyFont="1" applyFill="1" applyBorder="1" applyAlignment="1">
      <alignment horizontal="center" wrapText="1"/>
    </xf>
    <xf numFmtId="164" fontId="24" fillId="6" borderId="0" xfId="0" applyFont="1" applyFill="1" applyAlignment="1" applyProtection="1">
      <alignment/>
      <protection hidden="1"/>
    </xf>
    <xf numFmtId="174" fontId="24" fillId="6" borderId="0" xfId="0" applyNumberFormat="1" applyFont="1" applyFill="1" applyBorder="1" applyAlignment="1" applyProtection="1">
      <alignment/>
      <protection hidden="1"/>
    </xf>
    <xf numFmtId="164" fontId="24" fillId="6" borderId="0" xfId="0" applyFont="1" applyFill="1" applyBorder="1" applyAlignment="1" applyProtection="1">
      <alignment/>
      <protection hidden="1"/>
    </xf>
    <xf numFmtId="164" fontId="26" fillId="6" borderId="0" xfId="0" applyFont="1" applyFill="1" applyBorder="1" applyAlignment="1" applyProtection="1">
      <alignment horizontal="center" wrapText="1"/>
      <protection hidden="1"/>
    </xf>
    <xf numFmtId="164" fontId="24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Tv(f) Frequency Response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375"/>
          <c:w val="0.899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'Voltage Loop'!$M$1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'Voltage Loop'!$B$2:$B$101</c:f>
              <c:numCache/>
            </c:numRef>
          </c:xVal>
          <c:yVal>
            <c:numRef>
              <c:f>'Voltage Loop'!$M$2:$M$101</c:f>
              <c:numCache/>
            </c:numRef>
          </c:yVal>
          <c:smooth val="1"/>
        </c:ser>
        <c:axId val="51669886"/>
        <c:axId val="62375791"/>
      </c:scatterChart>
      <c:scatterChart>
        <c:scatterStyle val="lineMarker"/>
        <c:varyColors val="0"/>
        <c:ser>
          <c:idx val="0"/>
          <c:order val="1"/>
          <c:tx>
            <c:strRef>
              <c:f>'Voltage Loop'!$O$1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'Voltage Loop'!$B$2:$B$101</c:f>
              <c:numCache/>
            </c:numRef>
          </c:xVal>
          <c:yVal>
            <c:numRef>
              <c:f>'Voltage Loop'!$O$2:$O$101</c:f>
              <c:numCache/>
            </c:numRef>
          </c:yVal>
          <c:smooth val="0"/>
        </c:ser>
        <c:axId val="24511208"/>
        <c:axId val="19274281"/>
      </c:scatterChart>
      <c:valAx>
        <c:axId val="51669886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B3650"/>
                </a:solidFill>
                <a:latin typeface="Arial"/>
                <a:ea typeface="Arial"/>
                <a:cs typeface="Arial"/>
              </a:defRPr>
            </a:pPr>
          </a:p>
        </c:txPr>
        <c:crossAx val="62375791"/>
        <c:crossesAt val="-80"/>
        <c:crossBetween val="midCat"/>
        <c:dispUnits/>
      </c:valAx>
      <c:valAx>
        <c:axId val="62375791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Gain in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7CD04"/>
                </a:solidFill>
                <a:latin typeface="Arial"/>
                <a:ea typeface="Arial"/>
                <a:cs typeface="Arial"/>
              </a:defRPr>
            </a:pPr>
          </a:p>
        </c:txPr>
        <c:crossAx val="51669886"/>
        <c:crossesAt val="1"/>
        <c:crossBetween val="midCat"/>
        <c:dispUnits/>
      </c:valAx>
      <c:valAx>
        <c:axId val="24511208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EE0A85"/>
                </a:solidFill>
                <a:latin typeface="Arial"/>
                <a:ea typeface="Arial"/>
                <a:cs typeface="Arial"/>
              </a:defRPr>
            </a:pPr>
          </a:p>
        </c:txPr>
        <c:crossAx val="19274281"/>
        <c:crossesAt val="0"/>
        <c:crossBetween val="midCat"/>
        <c:dispUnits/>
      </c:valAx>
      <c:valAx>
        <c:axId val="19274281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73866B"/>
                </a:solidFill>
                <a:latin typeface="Arial"/>
                <a:ea typeface="Arial"/>
                <a:cs typeface="Arial"/>
              </a:defRPr>
            </a:pPr>
          </a:p>
        </c:txPr>
        <c:crossAx val="24511208"/>
        <c:crosses val="max"/>
        <c:crossBetween val="midCat"/>
        <c:dispUnits/>
        <c:majorUnit val="45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700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Tv(f) Frequency Response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85"/>
          <c:w val="0.91075"/>
          <c:h val="0.85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'Voltage Loop'!$M$1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'Voltage Loop'!$B$2:$B$101</c:f>
              <c:numCache/>
            </c:numRef>
          </c:xVal>
          <c:yVal>
            <c:numRef>
              <c:f>'Voltage Loop'!$M$2:$M$101</c:f>
              <c:numCache/>
            </c:numRef>
          </c:yVal>
          <c:smooth val="1"/>
        </c:ser>
        <c:axId val="39250802"/>
        <c:axId val="17712899"/>
      </c:scatterChart>
      <c:scatterChart>
        <c:scatterStyle val="lineMarker"/>
        <c:varyColors val="0"/>
        <c:ser>
          <c:idx val="0"/>
          <c:order val="1"/>
          <c:tx>
            <c:strRef>
              <c:f>'Voltage Loop'!$O$1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'Voltage Loop'!$B$2:$B$101</c:f>
              <c:numCache/>
            </c:numRef>
          </c:xVal>
          <c:yVal>
            <c:numRef>
              <c:f>'Voltage Loop'!$O$2:$O$101</c:f>
              <c:numCache/>
            </c:numRef>
          </c:yVal>
          <c:smooth val="0"/>
        </c:ser>
        <c:axId val="25198364"/>
        <c:axId val="25458685"/>
      </c:scatterChart>
      <c:valAx>
        <c:axId val="39250802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1" i="0" u="none" baseline="0">
                <a:solidFill>
                  <a:srgbClr val="E7F652"/>
                </a:solidFill>
                <a:latin typeface="Arial"/>
                <a:ea typeface="Arial"/>
                <a:cs typeface="Arial"/>
              </a:defRPr>
            </a:pPr>
          </a:p>
        </c:txPr>
        <c:crossAx val="17712899"/>
        <c:crossesAt val="-80"/>
        <c:crossBetween val="midCat"/>
        <c:dispUnits/>
      </c:valAx>
      <c:valAx>
        <c:axId val="17712899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Gain in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1" i="0" u="none" baseline="0">
                <a:solidFill>
                  <a:srgbClr val="FFEF90"/>
                </a:solidFill>
                <a:latin typeface="Arial"/>
                <a:ea typeface="Arial"/>
                <a:cs typeface="Arial"/>
              </a:defRPr>
            </a:pPr>
          </a:p>
        </c:txPr>
        <c:crossAx val="39250802"/>
        <c:crossesAt val="1"/>
        <c:crossBetween val="midCat"/>
        <c:dispUnits/>
      </c:valAx>
      <c:valAx>
        <c:axId val="25198364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1516F4"/>
                </a:solidFill>
                <a:latin typeface="Arial"/>
                <a:ea typeface="Arial"/>
                <a:cs typeface="Arial"/>
              </a:defRPr>
            </a:pPr>
          </a:p>
        </c:txPr>
        <c:crossAx val="25458685"/>
        <c:crossesAt val="0"/>
        <c:crossBetween val="midCat"/>
        <c:dispUnits/>
      </c:valAx>
      <c:valAx>
        <c:axId val="25458685"/>
        <c:scaling>
          <c:orientation val="minMax"/>
          <c:max val="180"/>
          <c:min val="-18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75" b="1" i="0" u="none" baseline="0">
                <a:solidFill>
                  <a:srgbClr val="68A857"/>
                </a:solidFill>
                <a:latin typeface="Arial"/>
                <a:ea typeface="Arial"/>
                <a:cs typeface="Arial"/>
              </a:defRPr>
            </a:pPr>
          </a:p>
        </c:txPr>
        <c:crossAx val="25198364"/>
        <c:crosses val="max"/>
        <c:crossBetween val="midCat"/>
        <c:dispUnits/>
        <c:majorUnit val="45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703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12</xdr:col>
      <xdr:colOff>257175</xdr:colOff>
      <xdr:row>35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7400925" cy="5676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151</xdr:row>
      <xdr:rowOff>28575</xdr:rowOff>
    </xdr:from>
    <xdr:to>
      <xdr:col>3</xdr:col>
      <xdr:colOff>695325</xdr:colOff>
      <xdr:row>171</xdr:row>
      <xdr:rowOff>133350</xdr:rowOff>
    </xdr:to>
    <xdr:graphicFrame>
      <xdr:nvGraphicFramePr>
        <xdr:cNvPr id="1" name="Chart 1"/>
        <xdr:cNvGraphicFramePr/>
      </xdr:nvGraphicFramePr>
      <xdr:xfrm>
        <a:off x="47625" y="22974300"/>
        <a:ext cx="695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523875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400675" cy="704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352425</xdr:colOff>
      <xdr:row>34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5629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390525</xdr:colOff>
      <xdr:row>34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57725" cy="5638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85</xdr:row>
      <xdr:rowOff>95250</xdr:rowOff>
    </xdr:from>
    <xdr:to>
      <xdr:col>7</xdr:col>
      <xdr:colOff>57150</xdr:colOff>
      <xdr:row>105</xdr:row>
      <xdr:rowOff>152400</xdr:rowOff>
    </xdr:to>
    <xdr:graphicFrame>
      <xdr:nvGraphicFramePr>
        <xdr:cNvPr id="1" name="Chart 1"/>
        <xdr:cNvGraphicFramePr/>
      </xdr:nvGraphicFramePr>
      <xdr:xfrm>
        <a:off x="876300" y="13858875"/>
        <a:ext cx="5781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Documents%20and%20Settings\a0799388\My%20Documents\Applications%20Information\UCC28070\Design%20Tool\UCC28070%20Design%20Tool%208%2015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ign Information"/>
      <sheetName val="Current Loop Calaculations"/>
      <sheetName val="Voltage Loop Calac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="130" zoomScaleNormal="130" workbookViewId="0" topLeftCell="A1">
      <selection activeCell="A16" sqref="A16"/>
    </sheetView>
  </sheetViews>
  <sheetFormatPr defaultColWidth="9.140625" defaultRowHeight="12.75"/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5"/>
      <c r="B8" s="4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5"/>
      <c r="B9" s="4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5.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5.5" customHeight="1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45.75" customHeight="1">
      <c r="A16" s="6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ht="12.75">
      <c r="A17" t="s">
        <v>11</v>
      </c>
    </row>
  </sheetData>
  <sheetProtection sheet="1"/>
  <mergeCells count="11">
    <mergeCell ref="A1:N1"/>
    <mergeCell ref="A2:N2"/>
    <mergeCell ref="A3:N3"/>
    <mergeCell ref="A4:N4"/>
    <mergeCell ref="A5:N5"/>
    <mergeCell ref="B7:N7"/>
    <mergeCell ref="B8:N8"/>
    <mergeCell ref="B9:N9"/>
    <mergeCell ref="A12:N12"/>
    <mergeCell ref="A14:N14"/>
    <mergeCell ref="A16:N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43:D43"/>
  <sheetViews>
    <sheetView zoomScale="130" zoomScaleNormal="130" workbookViewId="0" topLeftCell="A1">
      <selection activeCell="E50" sqref="E50"/>
    </sheetView>
  </sheetViews>
  <sheetFormatPr defaultColWidth="9.140625" defaultRowHeight="12.75"/>
  <sheetData>
    <row r="43" ht="12.75">
      <c r="D43" t="s">
        <v>11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2"/>
  <sheetViews>
    <sheetView tabSelected="1" zoomScale="130" zoomScaleNormal="130" workbookViewId="0" topLeftCell="A19">
      <selection activeCell="E206" sqref="E206"/>
    </sheetView>
  </sheetViews>
  <sheetFormatPr defaultColWidth="9.140625" defaultRowHeight="12.75"/>
  <cols>
    <col min="1" max="1" width="66.140625" style="8" customWidth="1"/>
    <col min="2" max="2" width="15.00390625" style="8" customWidth="1"/>
    <col min="3" max="3" width="13.421875" style="8" customWidth="1"/>
    <col min="4" max="5" width="11.57421875" style="8" customWidth="1"/>
    <col min="6" max="16384" width="9.140625" style="8" customWidth="1"/>
  </cols>
  <sheetData>
    <row r="1" ht="12.75">
      <c r="A1" s="8" t="s">
        <v>12</v>
      </c>
    </row>
    <row r="2" spans="1:2" ht="12.75">
      <c r="A2" s="8" t="s">
        <v>13</v>
      </c>
      <c r="B2" s="9">
        <v>40822</v>
      </c>
    </row>
    <row r="3" ht="12.75">
      <c r="B3" s="9"/>
    </row>
    <row r="4" spans="1:6" ht="12.75">
      <c r="A4" s="10" t="s">
        <v>14</v>
      </c>
      <c r="B4" s="11"/>
      <c r="C4" s="10"/>
      <c r="D4" s="10"/>
      <c r="E4" s="10"/>
      <c r="F4" s="10"/>
    </row>
    <row r="5" spans="1:6" ht="12.75">
      <c r="A5" s="10" t="s">
        <v>15</v>
      </c>
      <c r="B5" s="11"/>
      <c r="C5" s="10"/>
      <c r="D5" s="10"/>
      <c r="E5" s="10"/>
      <c r="F5" s="10"/>
    </row>
    <row r="6" spans="1:6" ht="12.75">
      <c r="A6" s="12" t="s">
        <v>16</v>
      </c>
      <c r="B6" s="13"/>
      <c r="C6" s="12"/>
      <c r="D6" s="12"/>
      <c r="E6" s="12"/>
      <c r="F6" s="12"/>
    </row>
    <row r="7" spans="1:6" ht="12.75">
      <c r="A7" s="14" t="s">
        <v>17</v>
      </c>
      <c r="B7" s="15"/>
      <c r="C7" s="14"/>
      <c r="D7" s="14"/>
      <c r="E7" s="14"/>
      <c r="F7" s="14"/>
    </row>
    <row r="8" spans="1:6" s="16" customFormat="1" ht="12.75">
      <c r="A8" s="14" t="s">
        <v>18</v>
      </c>
      <c r="B8" s="15"/>
      <c r="C8" s="14"/>
      <c r="D8" s="14"/>
      <c r="E8" s="14"/>
      <c r="F8" s="14"/>
    </row>
    <row r="9" spans="1:6" s="16" customFormat="1" ht="12.75">
      <c r="A9" s="14" t="s">
        <v>19</v>
      </c>
      <c r="B9" s="15"/>
      <c r="C9" s="14"/>
      <c r="D9" s="14"/>
      <c r="E9" s="14"/>
      <c r="F9" s="14"/>
    </row>
    <row r="10" spans="1:6" s="16" customFormat="1" ht="12.75">
      <c r="A10" s="14" t="s">
        <v>20</v>
      </c>
      <c r="B10" s="15"/>
      <c r="C10" s="14"/>
      <c r="D10" s="14"/>
      <c r="E10" s="14"/>
      <c r="F10" s="14"/>
    </row>
    <row r="11" ht="12.75">
      <c r="A11" s="8" t="s">
        <v>21</v>
      </c>
    </row>
    <row r="12" spans="1:5" ht="12.75">
      <c r="A12" s="8" t="s">
        <v>22</v>
      </c>
      <c r="B12" s="8" t="s">
        <v>23</v>
      </c>
      <c r="C12" s="8" t="s">
        <v>24</v>
      </c>
      <c r="D12" s="8" t="s">
        <v>25</v>
      </c>
      <c r="E12" s="8" t="s">
        <v>26</v>
      </c>
    </row>
    <row r="13" spans="1:6" ht="12.75">
      <c r="A13" s="8" t="s">
        <v>27</v>
      </c>
      <c r="B13" s="17">
        <v>370</v>
      </c>
      <c r="C13" s="17">
        <v>390</v>
      </c>
      <c r="D13" s="17">
        <v>410</v>
      </c>
      <c r="E13" s="8" t="s">
        <v>28</v>
      </c>
      <c r="F13" s="18">
        <f>IF(VINMAX/VINMIN&gt;3,"Please Keep Input Voltage &lt; 3:1","")</f>
      </c>
    </row>
    <row r="14" spans="1:8" ht="12.75">
      <c r="A14" s="8" t="s">
        <v>29</v>
      </c>
      <c r="B14" s="17">
        <v>88</v>
      </c>
      <c r="C14" s="17">
        <v>90</v>
      </c>
      <c r="D14" s="17">
        <v>92</v>
      </c>
      <c r="E14" s="8" t="s">
        <v>28</v>
      </c>
      <c r="F14" s="19">
        <f>IF(VOUT&lt;1.5,"The Minimum Output Voltage &gt; 1.5 V","")</f>
      </c>
      <c r="G14" s="16"/>
      <c r="H14" s="16"/>
    </row>
    <row r="15" spans="1:6" ht="12.75">
      <c r="A15" s="20" t="s">
        <v>30</v>
      </c>
      <c r="D15" s="17">
        <v>2</v>
      </c>
      <c r="E15" s="8" t="s">
        <v>28</v>
      </c>
      <c r="F15" s="19"/>
    </row>
    <row r="16" spans="1:5" ht="12.75">
      <c r="A16" s="20" t="s">
        <v>31</v>
      </c>
      <c r="D16" s="17">
        <v>450</v>
      </c>
      <c r="E16" s="8" t="s">
        <v>32</v>
      </c>
    </row>
    <row r="17" spans="1:6" ht="12.75">
      <c r="A17" s="8" t="s">
        <v>33</v>
      </c>
      <c r="B17" s="21">
        <v>0.92</v>
      </c>
      <c r="D17" s="8" t="s">
        <v>11</v>
      </c>
      <c r="F17" s="19">
        <f>IF(Eff&gt;96%,"Please be Realistic with Efficiency Goal","")</f>
      </c>
    </row>
    <row r="18" spans="1:6" ht="12.75">
      <c r="A18" s="8" t="s">
        <v>34</v>
      </c>
      <c r="C18" s="17">
        <v>50</v>
      </c>
      <c r="E18" s="8" t="s">
        <v>35</v>
      </c>
      <c r="F18" s="22">
        <f>IF(fs&gt;1000,"UCC28950 Can Only Achieve 1MHz Switching Frequency","")</f>
      </c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4" t="s">
        <v>36</v>
      </c>
      <c r="B20" s="24"/>
      <c r="C20" s="24"/>
      <c r="D20" s="24"/>
      <c r="E20" s="24"/>
      <c r="F20" s="24"/>
    </row>
    <row r="21" spans="1:4" ht="12.75">
      <c r="A21" s="8" t="s">
        <v>22</v>
      </c>
      <c r="B21" s="8" t="s">
        <v>37</v>
      </c>
      <c r="D21" s="8" t="s">
        <v>26</v>
      </c>
    </row>
    <row r="22" spans="1:4" ht="12.75">
      <c r="A22" s="8" t="s">
        <v>38</v>
      </c>
      <c r="B22" s="25" t="s">
        <v>39</v>
      </c>
      <c r="C22" s="25">
        <f>pout*(1-Eff)/Eff</f>
        <v>39.130434782608674</v>
      </c>
      <c r="D22" s="8" t="s">
        <v>32</v>
      </c>
    </row>
    <row r="23" spans="1:4" ht="12.75">
      <c r="A23" s="8" t="s">
        <v>40</v>
      </c>
      <c r="B23" s="8" t="s">
        <v>41</v>
      </c>
      <c r="C23" s="8">
        <v>0.3</v>
      </c>
      <c r="D23" s="8" t="s">
        <v>28</v>
      </c>
    </row>
    <row r="24" spans="1:3" ht="12.75">
      <c r="A24" s="8" t="s">
        <v>42</v>
      </c>
      <c r="B24" s="8" t="s">
        <v>43</v>
      </c>
      <c r="C24" s="26">
        <v>0.7</v>
      </c>
    </row>
    <row r="25" spans="1:5" ht="12.75">
      <c r="A25" s="8" t="s">
        <v>44</v>
      </c>
      <c r="B25" s="8" t="s">
        <v>45</v>
      </c>
      <c r="C25" s="27">
        <f>((VINMIN-2*vrdson)*dmax)/(VOUT+vrdson)</f>
        <v>2.8635658914728683</v>
      </c>
      <c r="D25" s="8" t="s">
        <v>11</v>
      </c>
      <c r="E25" s="8" t="s">
        <v>11</v>
      </c>
    </row>
    <row r="26" spans="1:3" ht="12.75">
      <c r="A26" s="8" t="s">
        <v>46</v>
      </c>
      <c r="B26" s="8" t="s">
        <v>45</v>
      </c>
      <c r="C26" s="28">
        <v>2</v>
      </c>
    </row>
    <row r="27" spans="1:4" s="29" customFormat="1" ht="12.75">
      <c r="A27" s="29" t="s">
        <v>47</v>
      </c>
      <c r="B27" s="29" t="s">
        <v>48</v>
      </c>
      <c r="C27" s="26">
        <f>((VOUT+vrdson)*taa1)/((vin-2*vrdson))</f>
        <v>0.46379044684129433</v>
      </c>
      <c r="D27" s="30">
        <f>IF(dtyp&gt;1,"Turns Ratio a1 in Error, Pleast Adjust","")</f>
      </c>
    </row>
    <row r="28" spans="1:4" ht="12.75">
      <c r="A28" s="8" t="s">
        <v>49</v>
      </c>
      <c r="B28" s="8" t="s">
        <v>50</v>
      </c>
      <c r="C28" s="8">
        <f>pout*0.2/VOUT</f>
        <v>1</v>
      </c>
      <c r="D28" s="8" t="s">
        <v>51</v>
      </c>
    </row>
    <row r="29" spans="1:4" ht="12.75">
      <c r="A29" s="8" t="s">
        <v>52</v>
      </c>
      <c r="B29" s="8" t="s">
        <v>53</v>
      </c>
      <c r="C29" s="29">
        <f>(vin*(1-dtyp)*taa1)/(dilout*0.5*fs)</f>
        <v>16.729738058551614</v>
      </c>
      <c r="D29" s="8" t="s">
        <v>54</v>
      </c>
    </row>
    <row r="30" spans="1:5" ht="12.75">
      <c r="A30" s="8" t="s">
        <v>55</v>
      </c>
      <c r="B30" s="8" t="s">
        <v>56</v>
      </c>
      <c r="C30" s="25">
        <f>(pout/VOUT)+(dilout/2)</f>
        <v>5.5</v>
      </c>
      <c r="D30" s="8" t="s">
        <v>51</v>
      </c>
      <c r="E30" s="8" t="s">
        <v>11</v>
      </c>
    </row>
    <row r="31" spans="1:5" ht="12.75">
      <c r="A31" s="8" t="s">
        <v>55</v>
      </c>
      <c r="B31" s="8" t="s">
        <v>57</v>
      </c>
      <c r="C31" s="25">
        <f>(pout/VOUT)-(dilout/2)</f>
        <v>4.5</v>
      </c>
      <c r="D31" s="8" t="s">
        <v>51</v>
      </c>
      <c r="E31" s="31"/>
    </row>
    <row r="32" spans="1:5" ht="12.75">
      <c r="A32" s="8" t="s">
        <v>55</v>
      </c>
      <c r="B32" s="8" t="s">
        <v>58</v>
      </c>
      <c r="C32" s="25">
        <f>ips-(dilout/2)</f>
        <v>5</v>
      </c>
      <c r="D32" s="8" t="s">
        <v>51</v>
      </c>
      <c r="E32" s="29" t="s">
        <v>11</v>
      </c>
    </row>
    <row r="33" spans="1:5" ht="12.75">
      <c r="A33" s="8" t="s">
        <v>59</v>
      </c>
      <c r="B33" s="8" t="s">
        <v>60</v>
      </c>
      <c r="C33" s="25">
        <f>((dmax/2)*(ips*ims+(((ips-ims)^2)/3)))^0.5</f>
        <v>2.9629658564800683</v>
      </c>
      <c r="D33" s="8" t="s">
        <v>51</v>
      </c>
      <c r="E33" s="25" t="s">
        <v>11</v>
      </c>
    </row>
    <row r="34" spans="1:5" ht="12.75">
      <c r="A34" s="8" t="s">
        <v>59</v>
      </c>
      <c r="B34" s="8" t="s">
        <v>61</v>
      </c>
      <c r="C34" s="25">
        <f>(((1-dmax)/2)*(ips*ims2+(((ips-ims2)^2)/3)))^0.5</f>
        <v>2.034084560680799</v>
      </c>
      <c r="D34" s="8" t="s">
        <v>51</v>
      </c>
      <c r="E34" s="8" t="s">
        <v>11</v>
      </c>
    </row>
    <row r="35" spans="1:5" ht="12.75">
      <c r="A35" s="8" t="s">
        <v>59</v>
      </c>
      <c r="B35" s="8" t="s">
        <v>62</v>
      </c>
      <c r="C35" s="25">
        <f>(dilout/2)*((1-dmax)/6)^0.5</f>
        <v>0.1118033988749895</v>
      </c>
      <c r="D35" s="8" t="s">
        <v>51</v>
      </c>
      <c r="E35" s="8" t="s">
        <v>11</v>
      </c>
    </row>
    <row r="36" spans="1:4" ht="12.75">
      <c r="A36" s="8" t="s">
        <v>63</v>
      </c>
      <c r="B36" s="8" t="s">
        <v>64</v>
      </c>
      <c r="C36" s="25">
        <f>(isrms1^2+isrms2^2+isrms3^2)^0.5</f>
        <v>3.5957150424730075</v>
      </c>
      <c r="D36" s="8" t="s">
        <v>51</v>
      </c>
    </row>
    <row r="37" spans="1:4" ht="12.75">
      <c r="A37" s="8" t="s">
        <v>65</v>
      </c>
      <c r="B37" s="8" t="s">
        <v>66</v>
      </c>
      <c r="C37" s="25">
        <f>(VINMIN*dmax)/(lmag*fs)</f>
        <v>0.3096282788093134</v>
      </c>
      <c r="D37" s="8" t="s">
        <v>51</v>
      </c>
    </row>
    <row r="38" spans="1:4" ht="12.75">
      <c r="A38" s="8" t="s">
        <v>55</v>
      </c>
      <c r="B38" s="8" t="s">
        <v>67</v>
      </c>
      <c r="C38" s="25">
        <f>(((pout/(VOUT*Eff))+dilout/2)/taa1)+dilmag</f>
        <v>3.2770195831571396</v>
      </c>
      <c r="D38" s="8" t="s">
        <v>51</v>
      </c>
    </row>
    <row r="39" spans="1:4" ht="12.75">
      <c r="A39" s="8" t="s">
        <v>55</v>
      </c>
      <c r="B39" s="8" t="s">
        <v>68</v>
      </c>
      <c r="C39" s="25">
        <f>(((pout/(VOUT*Eff))-dilout/2)/taa1)+dilmag</f>
        <v>2.7770195831571396</v>
      </c>
      <c r="D39" s="8" t="s">
        <v>51</v>
      </c>
    </row>
    <row r="40" spans="1:4" ht="12.75">
      <c r="A40" s="8" t="s">
        <v>55</v>
      </c>
      <c r="B40" s="8" t="s">
        <v>69</v>
      </c>
      <c r="C40" s="25">
        <f>ipp-((dilout/2)/ta1)</f>
        <v>3.1024121115816117</v>
      </c>
      <c r="D40" s="8" t="s">
        <v>51</v>
      </c>
    </row>
    <row r="41" spans="1:4" ht="12.75">
      <c r="A41" s="8" t="s">
        <v>59</v>
      </c>
      <c r="B41" s="8" t="s">
        <v>70</v>
      </c>
      <c r="C41" s="25">
        <f>((dmax)*(ipp*imp+(((ipp-imp)^2)/3)))^0.5</f>
        <v>2.535463788561199</v>
      </c>
      <c r="D41" s="8" t="s">
        <v>51</v>
      </c>
    </row>
    <row r="42" spans="1:4" ht="12.75">
      <c r="A42" s="8" t="s">
        <v>59</v>
      </c>
      <c r="B42" s="8" t="s">
        <v>71</v>
      </c>
      <c r="C42" s="25">
        <f>(((1-dmax))*(ipp*imp2+(((ipp-imp2)^2)/3)))^0.5</f>
        <v>1.747297441855865</v>
      </c>
      <c r="D42" s="8" t="s">
        <v>51</v>
      </c>
    </row>
    <row r="43" spans="1:4" ht="12.75">
      <c r="A43" s="8" t="s">
        <v>72</v>
      </c>
      <c r="B43" s="8" t="s">
        <v>73</v>
      </c>
      <c r="C43" s="25">
        <f>((iprms1)^2+(iprms2)^2)^0.5</f>
        <v>3.079224735777036</v>
      </c>
      <c r="D43" s="8" t="s">
        <v>51</v>
      </c>
    </row>
    <row r="44" spans="1:5" ht="12.75">
      <c r="A44" s="8" t="s">
        <v>74</v>
      </c>
      <c r="B44" s="8" t="s">
        <v>53</v>
      </c>
      <c r="C44" s="32">
        <v>20</v>
      </c>
      <c r="D44" s="8" t="s">
        <v>54</v>
      </c>
      <c r="E44" s="22">
        <f>IF(lmag2&lt;lmag,"Please make Lmag &gt; or = Calculated Lmag","")</f>
      </c>
    </row>
    <row r="45" spans="1:4" ht="12.75">
      <c r="A45" s="8" t="s">
        <v>75</v>
      </c>
      <c r="B45" s="8" t="s">
        <v>76</v>
      </c>
      <c r="C45" s="32">
        <v>215</v>
      </c>
      <c r="D45" s="8" t="s">
        <v>77</v>
      </c>
    </row>
    <row r="46" spans="1:4" ht="12.75">
      <c r="A46" s="8" t="s">
        <v>78</v>
      </c>
      <c r="B46" s="8" t="s">
        <v>79</v>
      </c>
      <c r="C46" s="32">
        <v>0.58</v>
      </c>
      <c r="D46" s="8" t="s">
        <v>77</v>
      </c>
    </row>
    <row r="47" spans="1:4" ht="12.75">
      <c r="A47" s="8" t="s">
        <v>80</v>
      </c>
      <c r="B47" s="8" t="s">
        <v>81</v>
      </c>
      <c r="C47" s="32">
        <v>4</v>
      </c>
      <c r="D47" s="8" t="s">
        <v>82</v>
      </c>
    </row>
    <row r="48" spans="1:4" ht="12.75">
      <c r="A48" s="33" t="s">
        <v>83</v>
      </c>
      <c r="B48" s="8" t="s">
        <v>84</v>
      </c>
      <c r="C48" s="29">
        <f>2*((iprms^2*(dcrp/1000))+2*(isrms^2*(dcrs/1000)))</f>
        <v>4.107094405237764</v>
      </c>
      <c r="D48" s="8" t="s">
        <v>32</v>
      </c>
    </row>
    <row r="49" spans="1:5" ht="12.75">
      <c r="A49" s="8" t="s">
        <v>85</v>
      </c>
      <c r="B49" s="8" t="s">
        <v>39</v>
      </c>
      <c r="C49" s="29">
        <f>pbudget-C48</f>
        <v>35.02334037737091</v>
      </c>
      <c r="D49" s="8" t="s">
        <v>32</v>
      </c>
      <c r="E49" s="22">
        <f>IF(C49&lt;0,"PBudget Cannot be Made with Selected Components","")</f>
      </c>
    </row>
    <row r="50" spans="1:6" ht="12.75">
      <c r="A50" s="24" t="s">
        <v>86</v>
      </c>
      <c r="B50" s="24"/>
      <c r="C50" s="24" t="s">
        <v>11</v>
      </c>
      <c r="D50" s="24"/>
      <c r="E50" s="24"/>
      <c r="F50" s="24"/>
    </row>
    <row r="51" spans="1:4" ht="12.75">
      <c r="A51" s="33" t="s">
        <v>87</v>
      </c>
      <c r="B51" s="8" t="s">
        <v>88</v>
      </c>
      <c r="C51" s="17">
        <v>12</v>
      </c>
      <c r="D51" s="8" t="s">
        <v>28</v>
      </c>
    </row>
    <row r="52" spans="1:4" ht="12.75">
      <c r="A52" s="8" t="s">
        <v>89</v>
      </c>
      <c r="B52" s="8" t="s">
        <v>90</v>
      </c>
      <c r="C52" s="17">
        <v>220</v>
      </c>
      <c r="D52" s="8" t="s">
        <v>77</v>
      </c>
    </row>
    <row r="53" spans="1:4" ht="12.75">
      <c r="A53" s="8" t="s">
        <v>91</v>
      </c>
      <c r="B53" s="8" t="s">
        <v>92</v>
      </c>
      <c r="C53" s="17">
        <v>780</v>
      </c>
      <c r="D53" s="8" t="s">
        <v>93</v>
      </c>
    </row>
    <row r="54" spans="1:4" ht="12.75">
      <c r="A54" s="8" t="s">
        <v>94</v>
      </c>
      <c r="B54" s="8" t="s">
        <v>95</v>
      </c>
      <c r="C54" s="17">
        <v>15</v>
      </c>
      <c r="D54" s="8" t="s">
        <v>96</v>
      </c>
    </row>
    <row r="55" spans="1:4" ht="12.75">
      <c r="A55" s="20" t="s">
        <v>97</v>
      </c>
      <c r="B55" s="8" t="s">
        <v>98</v>
      </c>
      <c r="C55" s="17">
        <v>25</v>
      </c>
      <c r="D55" s="8" t="s">
        <v>28</v>
      </c>
    </row>
    <row r="56" spans="1:4" ht="12.75">
      <c r="A56" s="8" t="s">
        <v>99</v>
      </c>
      <c r="B56" s="8" t="s">
        <v>100</v>
      </c>
      <c r="C56" s="27">
        <f>C53*((C55/VINMAX)^0.5)</f>
        <v>192.60727134666996</v>
      </c>
      <c r="D56" s="8" t="s">
        <v>93</v>
      </c>
    </row>
    <row r="57" spans="1:4" ht="12.75">
      <c r="A57" s="8" t="s">
        <v>101</v>
      </c>
      <c r="B57" s="8" t="s">
        <v>102</v>
      </c>
      <c r="C57" s="25">
        <f>((iprms^2)*(rdsonqa/1000))+(2*(QAg*0.000000001)*vg*(fs*1000/2))</f>
        <v>2.0949574941526548</v>
      </c>
      <c r="D57" s="8" t="s">
        <v>32</v>
      </c>
    </row>
    <row r="58" spans="1:5" ht="12.75">
      <c r="A58" s="8" t="s">
        <v>85</v>
      </c>
      <c r="B58" s="8" t="s">
        <v>39</v>
      </c>
      <c r="C58" s="25">
        <f>C49-4*C57</f>
        <v>26.643510400760288</v>
      </c>
      <c r="D58" s="8" t="s">
        <v>32</v>
      </c>
      <c r="E58" s="22">
        <f>IF(C58&lt;0,"PBudget Cannot be Made with Selected Components","")</f>
      </c>
    </row>
    <row r="59" spans="1:6" ht="12.75">
      <c r="A59" s="24" t="s">
        <v>103</v>
      </c>
      <c r="B59" s="34"/>
      <c r="C59" s="35"/>
      <c r="D59" s="34"/>
      <c r="E59" s="24"/>
      <c r="F59" s="24"/>
    </row>
    <row r="60" spans="1:5" ht="12.75">
      <c r="A60" s="8" t="s">
        <v>104</v>
      </c>
      <c r="B60" s="8" t="s">
        <v>105</v>
      </c>
      <c r="C60" s="29">
        <f>(((2*cossqaavg*0.000000000001)*((vin)^2)/((ipp/2)-(dilout/(2*ta1)))^2)*1000000)-llk</f>
        <v>23.34057791378681</v>
      </c>
      <c r="D60" s="8" t="s">
        <v>82</v>
      </c>
      <c r="E60" s="22">
        <f>IF(C60&lt;0,"Calculated Ls is Negative and Ls Might Not be Needed, However, Leave a Place Holder for Ls Just in Case","")</f>
      </c>
    </row>
    <row r="61" spans="1:4" ht="12.75">
      <c r="A61" s="8" t="s">
        <v>106</v>
      </c>
      <c r="B61" s="8" t="s">
        <v>105</v>
      </c>
      <c r="C61" s="32">
        <v>26</v>
      </c>
      <c r="D61" s="8" t="s">
        <v>82</v>
      </c>
    </row>
    <row r="62" spans="1:4" ht="12.75">
      <c r="A62" s="8" t="s">
        <v>107</v>
      </c>
      <c r="B62" s="8" t="s">
        <v>108</v>
      </c>
      <c r="C62" s="32">
        <v>27</v>
      </c>
      <c r="D62" s="8" t="s">
        <v>77</v>
      </c>
    </row>
    <row r="63" spans="1:4" ht="12.75">
      <c r="A63" s="8" t="s">
        <v>109</v>
      </c>
      <c r="B63" s="8" t="s">
        <v>110</v>
      </c>
      <c r="C63" s="25">
        <f>2*iprms^2*(C62*0.001)</f>
        <v>0.5120077485647426</v>
      </c>
      <c r="D63" s="8" t="s">
        <v>32</v>
      </c>
    </row>
    <row r="64" spans="1:5" ht="12.75">
      <c r="A64" s="8" t="s">
        <v>85</v>
      </c>
      <c r="B64" s="8" t="s">
        <v>39</v>
      </c>
      <c r="C64" s="25">
        <f>C58-C63</f>
        <v>26.131502652195547</v>
      </c>
      <c r="D64" s="8" t="s">
        <v>32</v>
      </c>
      <c r="E64" s="22">
        <f>IF(C64&lt;0,"PBudget Cannot be Made with Selected Components","")</f>
      </c>
    </row>
    <row r="65" spans="1:6" ht="12.75">
      <c r="A65" s="24" t="s">
        <v>111</v>
      </c>
      <c r="B65" s="34"/>
      <c r="C65" s="35"/>
      <c r="D65" s="34"/>
      <c r="E65" s="24"/>
      <c r="F65" s="24"/>
    </row>
    <row r="66" spans="1:4" ht="12.75">
      <c r="A66" s="8" t="s">
        <v>112</v>
      </c>
      <c r="B66" s="8" t="s">
        <v>113</v>
      </c>
      <c r="C66" s="29">
        <f>((VOUT*(1-dtyp))/(dilout*fs))*1000</f>
        <v>965.1771956856702</v>
      </c>
      <c r="D66" s="8" t="s">
        <v>82</v>
      </c>
    </row>
    <row r="67" spans="1:4" ht="12.75">
      <c r="A67" s="8" t="s">
        <v>114</v>
      </c>
      <c r="B67" s="8" t="s">
        <v>115</v>
      </c>
      <c r="C67" s="25">
        <f>((pout/VOUT)^2+(dilout/(3^0.5))^2)^0.5</f>
        <v>5.033222956847166</v>
      </c>
      <c r="D67" s="8" t="s">
        <v>51</v>
      </c>
    </row>
    <row r="68" spans="1:5" ht="12.75">
      <c r="A68" s="8" t="s">
        <v>116</v>
      </c>
      <c r="B68" s="8" t="s">
        <v>113</v>
      </c>
      <c r="C68" s="32">
        <v>2</v>
      </c>
      <c r="D68" s="8" t="s">
        <v>82</v>
      </c>
      <c r="E68" s="8" t="str">
        <f>IF(lout&lt;(C66*0.9),"Lout needs to be &gt; or = Lout Calculated","")</f>
        <v>Lout needs to be &gt; or = Lout Calculated</v>
      </c>
    </row>
    <row r="69" spans="1:4" ht="12.75">
      <c r="A69" s="8" t="s">
        <v>117</v>
      </c>
      <c r="B69" s="8" t="s">
        <v>118</v>
      </c>
      <c r="C69" s="32">
        <v>0.75</v>
      </c>
      <c r="D69" s="8" t="s">
        <v>77</v>
      </c>
    </row>
    <row r="70" spans="1:4" ht="12.75">
      <c r="A70" s="8" t="s">
        <v>119</v>
      </c>
      <c r="B70" s="8" t="s">
        <v>120</v>
      </c>
      <c r="C70" s="8">
        <f>2*iloutrms^2*dcrlout*0.001</f>
        <v>0.038</v>
      </c>
      <c r="D70" s="8" t="s">
        <v>32</v>
      </c>
    </row>
    <row r="71" spans="1:5" ht="12.75">
      <c r="A71" s="8" t="s">
        <v>85</v>
      </c>
      <c r="B71" s="8" t="s">
        <v>39</v>
      </c>
      <c r="C71" s="25">
        <f>C64-C70</f>
        <v>26.093502652195546</v>
      </c>
      <c r="D71" s="8" t="s">
        <v>32</v>
      </c>
      <c r="E71" s="22">
        <f>IF(C71&lt;0,"PBudget Cannot be Made with Selected Components","")</f>
      </c>
    </row>
    <row r="72" spans="1:6" ht="12.75">
      <c r="A72" s="24" t="s">
        <v>121</v>
      </c>
      <c r="B72" s="34"/>
      <c r="C72" s="35"/>
      <c r="D72" s="34"/>
      <c r="E72" s="24"/>
      <c r="F72" s="24"/>
    </row>
    <row r="73" spans="1:4" ht="12.75">
      <c r="A73" s="8" t="s">
        <v>122</v>
      </c>
      <c r="B73" s="8" t="s">
        <v>123</v>
      </c>
      <c r="C73" s="8">
        <f>((lout*pout*0.9)/VOUT)/VOUT</f>
        <v>0.1</v>
      </c>
      <c r="D73" s="8" t="s">
        <v>124</v>
      </c>
    </row>
    <row r="74" spans="1:4" ht="12.75">
      <c r="A74" s="8" t="s">
        <v>125</v>
      </c>
      <c r="B74" s="8" t="s">
        <v>126</v>
      </c>
      <c r="C74" s="8">
        <f>((VTRAN*0.9)/((pout*0.9)/VOUT))*10^3</f>
        <v>400</v>
      </c>
      <c r="D74" s="8" t="s">
        <v>77</v>
      </c>
    </row>
    <row r="75" spans="1:4" ht="12.75">
      <c r="A75" s="8" t="s">
        <v>127</v>
      </c>
      <c r="B75" s="8" t="s">
        <v>128</v>
      </c>
      <c r="C75" s="8">
        <f>(pout*0.9*thu)/(VOUT*VTRAN*0.1)</f>
        <v>2.25</v>
      </c>
      <c r="D75" s="8" t="s">
        <v>129</v>
      </c>
    </row>
    <row r="76" spans="1:4" ht="12.75">
      <c r="A76" s="8" t="s">
        <v>130</v>
      </c>
      <c r="B76" s="8" t="s">
        <v>131</v>
      </c>
      <c r="C76" s="25">
        <f>dilout/(3^0.5)</f>
        <v>0.5773502691896258</v>
      </c>
      <c r="D76" s="8" t="s">
        <v>51</v>
      </c>
    </row>
    <row r="77" spans="1:3" ht="12.75">
      <c r="A77" s="8" t="s">
        <v>132</v>
      </c>
      <c r="B77" s="8" t="s">
        <v>133</v>
      </c>
      <c r="C77" s="17">
        <v>5</v>
      </c>
    </row>
    <row r="78" spans="1:4" ht="12.75">
      <c r="A78" s="8" t="s">
        <v>134</v>
      </c>
      <c r="C78" s="17">
        <v>1500</v>
      </c>
      <c r="D78" s="8" t="s">
        <v>129</v>
      </c>
    </row>
    <row r="79" spans="1:4" ht="12.75">
      <c r="A79" s="8" t="s">
        <v>135</v>
      </c>
      <c r="C79" s="17">
        <v>31</v>
      </c>
      <c r="D79" s="8" t="s">
        <v>77</v>
      </c>
    </row>
    <row r="80" spans="1:4" ht="12.75">
      <c r="A80" s="8" t="s">
        <v>136</v>
      </c>
      <c r="B80" s="8" t="s">
        <v>128</v>
      </c>
      <c r="C80" s="8">
        <f>C77*C78</f>
        <v>7500</v>
      </c>
      <c r="D80" s="8" t="s">
        <v>129</v>
      </c>
    </row>
    <row r="81" spans="1:4" ht="12.75">
      <c r="A81" s="8" t="s">
        <v>137</v>
      </c>
      <c r="B81" s="8" t="s">
        <v>126</v>
      </c>
      <c r="C81" s="29">
        <f>C79/C77</f>
        <v>6.2</v>
      </c>
      <c r="D81" s="8" t="s">
        <v>77</v>
      </c>
    </row>
    <row r="82" spans="1:4" ht="12.75">
      <c r="A82" s="8" t="s">
        <v>138</v>
      </c>
      <c r="B82" s="8" t="s">
        <v>139</v>
      </c>
      <c r="C82" s="25">
        <f>(C76^2)*C81*0.001</f>
        <v>0.002066666666666667</v>
      </c>
      <c r="D82" s="8" t="s">
        <v>32</v>
      </c>
    </row>
    <row r="83" spans="1:5" ht="12.75">
      <c r="A83" s="8" t="s">
        <v>85</v>
      </c>
      <c r="B83" s="8" t="s">
        <v>39</v>
      </c>
      <c r="C83" s="25">
        <f>C71-C82</f>
        <v>26.09143598552888</v>
      </c>
      <c r="D83" s="8" t="s">
        <v>32</v>
      </c>
      <c r="E83" s="22">
        <f>IF(C83&lt;0,"PBudget Cannot be Made with Selected Components","")</f>
      </c>
    </row>
    <row r="84" spans="1:6" ht="12.75">
      <c r="A84" s="24" t="s">
        <v>140</v>
      </c>
      <c r="B84" s="34"/>
      <c r="C84" s="34"/>
      <c r="D84" s="34"/>
      <c r="E84" s="24"/>
      <c r="F84" s="24"/>
    </row>
    <row r="85" spans="1:4" ht="12.75">
      <c r="A85" s="8" t="s">
        <v>141</v>
      </c>
      <c r="B85" s="8" t="s">
        <v>142</v>
      </c>
      <c r="C85" s="36">
        <f>VINMAX/taa1</f>
        <v>205</v>
      </c>
      <c r="D85" s="8" t="s">
        <v>28</v>
      </c>
    </row>
    <row r="86" spans="1:4" ht="12.75">
      <c r="A86" s="8" t="s">
        <v>143</v>
      </c>
      <c r="B86" s="8" t="s">
        <v>144</v>
      </c>
      <c r="C86" s="17">
        <v>152</v>
      </c>
      <c r="D86" s="8" t="s">
        <v>96</v>
      </c>
    </row>
    <row r="87" spans="1:4" ht="12.75">
      <c r="A87" s="8" t="s">
        <v>145</v>
      </c>
      <c r="B87" s="8" t="s">
        <v>146</v>
      </c>
      <c r="C87" s="17">
        <v>3.2</v>
      </c>
      <c r="D87" s="8" t="s">
        <v>77</v>
      </c>
    </row>
    <row r="88" spans="1:4" ht="12.75">
      <c r="A88" s="8" t="s">
        <v>147</v>
      </c>
      <c r="B88" s="8" t="s">
        <v>148</v>
      </c>
      <c r="C88" s="17">
        <v>25</v>
      </c>
      <c r="D88" s="8" t="s">
        <v>28</v>
      </c>
    </row>
    <row r="89" spans="1:4" ht="12.75">
      <c r="A89" s="8" t="s">
        <v>149</v>
      </c>
      <c r="B89" s="8" t="s">
        <v>150</v>
      </c>
      <c r="C89" s="17">
        <v>1810</v>
      </c>
      <c r="D89" s="8" t="s">
        <v>93</v>
      </c>
    </row>
    <row r="90" spans="1:4" ht="12.75">
      <c r="A90" s="8" t="s">
        <v>151</v>
      </c>
      <c r="B90" s="8" t="s">
        <v>152</v>
      </c>
      <c r="C90" s="27">
        <f>C89*((C85/C88)^0.5)</f>
        <v>5183.051224906039</v>
      </c>
      <c r="D90" s="8" t="s">
        <v>93</v>
      </c>
    </row>
    <row r="91" spans="1:4" ht="12.75">
      <c r="A91" s="8" t="s">
        <v>153</v>
      </c>
      <c r="B91" s="8" t="s">
        <v>154</v>
      </c>
      <c r="C91" s="25">
        <f>isrms</f>
        <v>3.5957150424730075</v>
      </c>
      <c r="D91" s="8" t="s">
        <v>51</v>
      </c>
    </row>
    <row r="92" spans="1:4" ht="12.75">
      <c r="A92" s="8" t="s">
        <v>155</v>
      </c>
      <c r="B92" s="8" t="s">
        <v>156</v>
      </c>
      <c r="C92" s="17">
        <v>100</v>
      </c>
      <c r="D92" s="8" t="s">
        <v>96</v>
      </c>
    </row>
    <row r="93" spans="1:4" ht="12.75">
      <c r="A93" s="8" t="s">
        <v>157</v>
      </c>
      <c r="B93" s="8" t="s">
        <v>158</v>
      </c>
      <c r="C93" s="17">
        <v>52</v>
      </c>
      <c r="D93" s="8" t="s">
        <v>96</v>
      </c>
    </row>
    <row r="94" spans="1:4" ht="12.75">
      <c r="A94" s="8" t="s">
        <v>159</v>
      </c>
      <c r="B94" s="8" t="s">
        <v>160</v>
      </c>
      <c r="C94" s="28">
        <v>4</v>
      </c>
      <c r="D94" s="8" t="s">
        <v>51</v>
      </c>
    </row>
    <row r="95" spans="1:4" ht="12.75">
      <c r="A95" s="8" t="s">
        <v>161</v>
      </c>
      <c r="B95" s="8" t="s">
        <v>162</v>
      </c>
      <c r="C95" s="8">
        <f>(C92-C93)/(C94/2)</f>
        <v>24</v>
      </c>
      <c r="D95" s="8" t="s">
        <v>163</v>
      </c>
    </row>
    <row r="96" spans="1:4" ht="12.75">
      <c r="A96" s="8" t="s">
        <v>164</v>
      </c>
      <c r="B96" s="8" t="s">
        <v>165</v>
      </c>
      <c r="C96" s="25">
        <f>((isrms^2)*(rdsonqe*0.001))+(pout/VOUT)*vdsqe*(2*tr*0.000000001)*((fs*1000)/2)+(2*(cossqeavg*0.000000000001)*(vdsqe^2)*((fs*1000)/2))+(2*(qeg*0.000000001)*vg*((fs*1000)/2))</f>
        <v>12.253459719667148</v>
      </c>
      <c r="D96" s="8" t="s">
        <v>32</v>
      </c>
    </row>
    <row r="97" spans="1:5" ht="12.75">
      <c r="A97" s="20" t="s">
        <v>85</v>
      </c>
      <c r="B97" s="8" t="s">
        <v>39</v>
      </c>
      <c r="C97" s="25">
        <f>C83-2*C96</f>
        <v>1.5845165461945818</v>
      </c>
      <c r="D97" s="8" t="s">
        <v>32</v>
      </c>
      <c r="E97" s="22">
        <f>IF(C97&lt;0,"PBudget Cannot be Made with Selected Components","")</f>
      </c>
    </row>
    <row r="98" spans="1:6" ht="12.75">
      <c r="A98" s="24" t="s">
        <v>166</v>
      </c>
      <c r="B98" s="34"/>
      <c r="C98" s="35"/>
      <c r="D98" s="34"/>
      <c r="E98" s="24"/>
      <c r="F98" s="24"/>
    </row>
    <row r="99" spans="1:4" ht="12.75" hidden="1">
      <c r="A99" s="20" t="s">
        <v>167</v>
      </c>
      <c r="B99" s="8" t="s">
        <v>168</v>
      </c>
      <c r="C99" s="25">
        <f>1/(2*PI()*(ls*0.000001*2*cossqaavg*0.000000000001)^0.5)</f>
        <v>1590311.2108085777</v>
      </c>
      <c r="D99" s="8" t="s">
        <v>11</v>
      </c>
    </row>
    <row r="100" spans="1:4" ht="12.75">
      <c r="A100" s="20" t="s">
        <v>169</v>
      </c>
      <c r="B100" s="8" t="s">
        <v>170</v>
      </c>
      <c r="C100" s="27">
        <f>2.2*1000000000/(C99*4)</f>
        <v>345.84425756538434</v>
      </c>
      <c r="D100" s="8" t="s">
        <v>163</v>
      </c>
    </row>
    <row r="101" spans="1:5" ht="12.75" hidden="1">
      <c r="A101" s="20" t="s">
        <v>171</v>
      </c>
      <c r="B101" s="8" t="s">
        <v>172</v>
      </c>
      <c r="C101" s="37">
        <f>1/(fs*1000)</f>
        <v>2E-05</v>
      </c>
      <c r="E101" s="8" t="s">
        <v>11</v>
      </c>
    </row>
    <row r="102" spans="1:3" ht="12.75">
      <c r="A102" s="20" t="s">
        <v>173</v>
      </c>
      <c r="B102" s="8" t="s">
        <v>174</v>
      </c>
      <c r="C102" s="26">
        <f>(C101-C100*0.000000001)/C101</f>
        <v>0.9827077871217308</v>
      </c>
    </row>
    <row r="103" spans="1:4" ht="12.75">
      <c r="A103" s="8" t="s">
        <v>175</v>
      </c>
      <c r="B103" s="8" t="s">
        <v>176</v>
      </c>
      <c r="C103" s="25">
        <f>((2*dclamp*vrdson)+(taa1*(VOUT+vrdson)))/dclamp</f>
        <v>184.37792703664468</v>
      </c>
      <c r="D103" s="8" t="s">
        <v>28</v>
      </c>
    </row>
    <row r="104" spans="1:5" ht="12.75">
      <c r="A104" s="8" t="s">
        <v>177</v>
      </c>
      <c r="B104" s="8" t="s">
        <v>178</v>
      </c>
      <c r="C104" s="27">
        <f>((2*pout*(1/60))/(vin^2-C103^2))*1000000</f>
        <v>127.00586713973658</v>
      </c>
      <c r="D104" s="8" t="s">
        <v>129</v>
      </c>
      <c r="E104" s="22">
        <f>IF(VINMIN&lt;200,"Non-PFC Cin Capacitance Cannot Be Calculated, Use Other Method","")</f>
      </c>
    </row>
    <row r="105" spans="1:4" ht="12.75">
      <c r="A105" s="8" t="s">
        <v>179</v>
      </c>
      <c r="B105" s="8" t="s">
        <v>180</v>
      </c>
      <c r="C105" s="25">
        <f>((iprms1^2)-((pout/(VINMIN*Eff))^2))^0.5</f>
        <v>2.1635528592949202</v>
      </c>
      <c r="D105" s="8" t="s">
        <v>51</v>
      </c>
    </row>
    <row r="106" spans="1:4" ht="12.75">
      <c r="A106" s="8" t="s">
        <v>181</v>
      </c>
      <c r="B106" s="8" t="s">
        <v>178</v>
      </c>
      <c r="C106" s="17">
        <v>330</v>
      </c>
      <c r="D106" s="8" t="s">
        <v>129</v>
      </c>
    </row>
    <row r="107" spans="1:4" ht="12.75">
      <c r="A107" s="8" t="s">
        <v>182</v>
      </c>
      <c r="B107" s="8" t="s">
        <v>183</v>
      </c>
      <c r="C107" s="17">
        <v>150</v>
      </c>
      <c r="D107" s="8" t="s">
        <v>77</v>
      </c>
    </row>
    <row r="108" spans="1:4" ht="12.75">
      <c r="A108" s="8" t="s">
        <v>184</v>
      </c>
      <c r="B108" s="8" t="s">
        <v>185</v>
      </c>
      <c r="C108" s="25">
        <f>(C105^2)*(C107*0.001)</f>
        <v>0.7021441462444836</v>
      </c>
      <c r="D108" s="8" t="s">
        <v>32</v>
      </c>
    </row>
    <row r="109" spans="1:5" ht="54.75" customHeight="1">
      <c r="A109" s="20" t="s">
        <v>186</v>
      </c>
      <c r="B109" s="8" t="s">
        <v>39</v>
      </c>
      <c r="C109" s="25">
        <f>C97-C108</f>
        <v>0.8823723999500982</v>
      </c>
      <c r="D109" s="8" t="s">
        <v>32</v>
      </c>
      <c r="E109" s="22">
        <f>IF(C109&lt;0,"PBudget Cannot be Made with Selected Components","")</f>
      </c>
    </row>
    <row r="110" spans="1:6" ht="12.75">
      <c r="A110" s="24" t="s">
        <v>187</v>
      </c>
      <c r="B110" s="24"/>
      <c r="C110" s="38" t="s">
        <v>11</v>
      </c>
      <c r="D110" s="24" t="s">
        <v>11</v>
      </c>
      <c r="E110" s="24" t="s">
        <v>11</v>
      </c>
      <c r="F110" s="24"/>
    </row>
    <row r="111" spans="1:3" ht="12.75">
      <c r="A111" s="8" t="s">
        <v>188</v>
      </c>
      <c r="B111" s="8" t="s">
        <v>189</v>
      </c>
      <c r="C111" s="17">
        <v>100</v>
      </c>
    </row>
    <row r="112" spans="1:5" ht="12.75">
      <c r="A112" s="8" t="s">
        <v>190</v>
      </c>
      <c r="B112" s="8" t="s">
        <v>191</v>
      </c>
      <c r="C112" s="36">
        <f>((pout/(VOUT)+(dilout/2))/(Eff*taa1))+((VINMIN*dmax)/(lmag2*fs))</f>
        <v>3.2481304347826083</v>
      </c>
      <c r="D112" s="8" t="s">
        <v>51</v>
      </c>
      <c r="E112" s="8" t="s">
        <v>11</v>
      </c>
    </row>
    <row r="113" spans="1:4" ht="12.75">
      <c r="A113" s="8" t="s">
        <v>192</v>
      </c>
      <c r="B113" s="8" t="s">
        <v>193</v>
      </c>
      <c r="C113" s="25">
        <f>(2-0.2)/((ipp1/ta2)*1.1)</f>
        <v>50.3786306990826</v>
      </c>
      <c r="D113" s="8" t="s">
        <v>194</v>
      </c>
    </row>
    <row r="114" spans="1:4" ht="12.75">
      <c r="A114" s="8" t="s">
        <v>195</v>
      </c>
      <c r="B114" s="8" t="s">
        <v>193</v>
      </c>
      <c r="C114" s="8">
        <f>(IF((10^(LOG(C113)-INT(LOG(C113)))*100)-VLOOKUP((10^(LOG(C113)-INT(LOG(C113)))*100),E48_s:E48_f,1)&lt;VLOOKUP((10^(LOG(C113)-INT(LOG(C113)))*100),E48_s:E48_f,2)-(10^(LOG(C113)-INT(LOG(C113)))*100),VLOOKUP((10^(LOG(C113)-INT(LOG(C113)))*100),E48_s:E48_f,1),VLOOKUP((10^(LOG(C113)-INT(LOG(C113)))*100),E48_s:E48_f,2)))*10^INT(LOG(C113))/100</f>
        <v>51.1</v>
      </c>
      <c r="D114" s="8" t="s">
        <v>194</v>
      </c>
    </row>
    <row r="115" spans="1:5" ht="12.75">
      <c r="A115" s="8" t="s">
        <v>196</v>
      </c>
      <c r="B115" s="8" t="s">
        <v>193</v>
      </c>
      <c r="C115" s="17">
        <v>48.7</v>
      </c>
      <c r="D115" s="8" t="s">
        <v>194</v>
      </c>
      <c r="E115" s="8" t="s">
        <v>11</v>
      </c>
    </row>
    <row r="116" spans="1:4" ht="12.75">
      <c r="A116" s="8" t="s">
        <v>197</v>
      </c>
      <c r="B116" s="8" t="s">
        <v>198</v>
      </c>
      <c r="C116" s="29">
        <f>((iprms1/ta2)^2)*C115</f>
        <v>0.03130716815452188</v>
      </c>
      <c r="D116" s="8" t="s">
        <v>32</v>
      </c>
    </row>
    <row r="117" spans="1:4" ht="12.75">
      <c r="A117" s="8" t="s">
        <v>199</v>
      </c>
      <c r="B117" s="8" t="s">
        <v>200</v>
      </c>
      <c r="C117" s="25">
        <f>(2*(dclamp))/(1-dclamp)</f>
        <v>113.6589971497148</v>
      </c>
      <c r="D117" s="8" t="s">
        <v>28</v>
      </c>
    </row>
    <row r="118" spans="1:4" ht="12.75">
      <c r="A118" s="8" t="s">
        <v>201</v>
      </c>
      <c r="B118" s="8" t="s">
        <v>202</v>
      </c>
      <c r="C118" s="29">
        <f>(pout*0.6)/(VINMIN*Eff*ta2)</f>
        <v>0.007931844888366627</v>
      </c>
      <c r="D118" s="8" t="s">
        <v>32</v>
      </c>
    </row>
    <row r="119" spans="1:6" ht="12.75">
      <c r="A119" s="24" t="s">
        <v>203</v>
      </c>
      <c r="B119" s="34"/>
      <c r="C119" s="34"/>
      <c r="D119" s="34"/>
      <c r="E119" s="24" t="s">
        <v>11</v>
      </c>
      <c r="F119" s="24"/>
    </row>
    <row r="120" spans="1:6" ht="12.75">
      <c r="A120" s="8" t="s">
        <v>204</v>
      </c>
      <c r="B120" s="8" t="s">
        <v>205</v>
      </c>
      <c r="C120" s="17">
        <v>2.5</v>
      </c>
      <c r="D120" s="8" t="s">
        <v>28</v>
      </c>
      <c r="E120" s="22">
        <f>IF(va1&gt;VOUT,"V1 Needs to be &lt; VOUT",IF(va1=VOUT,"V1 Needs to be &lt; VOUT",""))</f>
      </c>
      <c r="F120" s="22"/>
    </row>
    <row r="121" spans="1:5" ht="12.75">
      <c r="A121" s="8" t="s">
        <v>206</v>
      </c>
      <c r="B121" s="8" t="s">
        <v>207</v>
      </c>
      <c r="C121" s="17">
        <v>2.37</v>
      </c>
      <c r="D121" s="8" t="s">
        <v>208</v>
      </c>
      <c r="E121" s="22">
        <f>IF(va1&lt;0.5,"V1 Needs to be Greater than 0.5","")</f>
      </c>
    </row>
    <row r="122" spans="1:4" ht="12.75">
      <c r="A122" s="8" t="s">
        <v>209</v>
      </c>
      <c r="B122" s="8" t="s">
        <v>210</v>
      </c>
      <c r="C122" s="8">
        <f>C121*(5-C120)/C120</f>
        <v>2.37</v>
      </c>
      <c r="D122" s="8" t="s">
        <v>208</v>
      </c>
    </row>
    <row r="123" spans="1:4" ht="12.75">
      <c r="A123" s="8" t="s">
        <v>195</v>
      </c>
      <c r="B123" s="8" t="s">
        <v>210</v>
      </c>
      <c r="C123" s="8">
        <f>(IF((10^(LOG(C122)-INT(LOG(C122)))*100)-VLOOKUP((10^(LOG(C122)-INT(LOG(C122)))*100),E48_s:E48_f,1)&lt;VLOOKUP((10^(LOG(C122)-INT(LOG(C122)))*100),E48_s:E48_f,2)-(10^(LOG(C122)-INT(LOG(C122)))*100),VLOOKUP((10^(LOG(C122)-INT(LOG(C122)))*100),E48_s:E48_f,1),VLOOKUP((10^(LOG(C122)-INT(LOG(C122)))*100),E48_s:E48_f,2)))*10^INT(LOG(C122))/100</f>
        <v>2.37</v>
      </c>
      <c r="D123" s="8" t="s">
        <v>208</v>
      </c>
    </row>
    <row r="124" spans="1:4" ht="12.75">
      <c r="A124" s="8" t="s">
        <v>211</v>
      </c>
      <c r="B124" s="8" t="s">
        <v>210</v>
      </c>
      <c r="C124" s="17">
        <v>2.37</v>
      </c>
      <c r="D124" s="8" t="s">
        <v>208</v>
      </c>
    </row>
    <row r="125" spans="1:4" ht="12.75">
      <c r="A125" s="8" t="s">
        <v>206</v>
      </c>
      <c r="B125" s="8" t="s">
        <v>212</v>
      </c>
      <c r="C125" s="17">
        <v>2.37</v>
      </c>
      <c r="D125" s="8" t="s">
        <v>208</v>
      </c>
    </row>
    <row r="126" spans="1:4" ht="12.75">
      <c r="A126" s="8" t="s">
        <v>209</v>
      </c>
      <c r="B126" s="8" t="s">
        <v>213</v>
      </c>
      <c r="C126" s="29">
        <f>C125*(VOUT-va1)/va1</f>
        <v>82.95</v>
      </c>
      <c r="D126" s="8" t="s">
        <v>208</v>
      </c>
    </row>
    <row r="127" spans="1:4" ht="12.75">
      <c r="A127" s="8" t="s">
        <v>195</v>
      </c>
      <c r="B127" s="8" t="s">
        <v>213</v>
      </c>
      <c r="C127" s="8">
        <f>(IF((10^(LOG(C126)-INT(LOG(C126)))*100)-VLOOKUP((10^(LOG(C126)-INT(LOG(C126)))*100),E48_s:E48_f,1)&lt;VLOOKUP((10^(LOG(C126)-INT(LOG(C126)))*100),E48_s:E48_f,2)-(10^(LOG(C126)-INT(LOG(C126)))*100),VLOOKUP((10^(LOG(C126)-INT(LOG(C126)))*100),E48_s:E48_f,1),VLOOKUP((10^(LOG(C126)-INT(LOG(C126)))*100),E48_s:E48_f,2)))*10^INT(LOG(C126))/100</f>
        <v>82.5</v>
      </c>
      <c r="D127" s="8" t="s">
        <v>208</v>
      </c>
    </row>
    <row r="128" spans="1:4" ht="12.75">
      <c r="A128" s="8" t="s">
        <v>211</v>
      </c>
      <c r="B128" s="8" t="s">
        <v>213</v>
      </c>
      <c r="C128" s="17">
        <v>9.09</v>
      </c>
      <c r="D128" s="8" t="s">
        <v>208</v>
      </c>
    </row>
    <row r="129" spans="1:4" ht="12.75">
      <c r="A129" s="8" t="s">
        <v>214</v>
      </c>
      <c r="B129" s="8" t="s">
        <v>215</v>
      </c>
      <c r="C129" s="8">
        <f>fs/4</f>
        <v>12.5</v>
      </c>
      <c r="D129" s="8" t="s">
        <v>35</v>
      </c>
    </row>
    <row r="130" spans="1:4" ht="12.75">
      <c r="A130" s="8" t="s">
        <v>216</v>
      </c>
      <c r="B130" s="8" t="s">
        <v>217</v>
      </c>
      <c r="C130" s="8">
        <f>fs/40</f>
        <v>1.25</v>
      </c>
      <c r="D130" s="8" t="s">
        <v>35</v>
      </c>
    </row>
    <row r="131" spans="1:4" ht="12.75">
      <c r="A131" s="8" t="s">
        <v>218</v>
      </c>
      <c r="B131" s="8" t="s">
        <v>219</v>
      </c>
      <c r="C131" s="8">
        <f>(VOUT^2)/(pout*0.1)</f>
        <v>180</v>
      </c>
      <c r="D131" s="8" t="s">
        <v>194</v>
      </c>
    </row>
    <row r="132" spans="1:4" ht="12.75" hidden="1">
      <c r="A132" s="39" t="s">
        <v>220</v>
      </c>
      <c r="B132" s="39" t="s">
        <v>221</v>
      </c>
      <c r="C132" s="39">
        <f>ta1*ta2*(rload/RS)</f>
        <v>1058.40217754644</v>
      </c>
      <c r="D132" s="8" t="s">
        <v>11</v>
      </c>
    </row>
    <row r="133" spans="1:3" ht="12.75" hidden="1">
      <c r="A133" s="40" t="s">
        <v>222</v>
      </c>
      <c r="B133" s="39"/>
      <c r="C133" s="39" t="str">
        <f>(_XLL.KOMPLEXE(1,2*PI()*fc*1000*esrcout*0.001*cout*0.000001))</f>
        <v>1+0.365210145979813i</v>
      </c>
    </row>
    <row r="134" spans="1:3" ht="12.75" hidden="1">
      <c r="A134" s="39" t="s">
        <v>223</v>
      </c>
      <c r="B134" s="39" t="s">
        <v>224</v>
      </c>
      <c r="C134" s="39" t="str">
        <f>IMDIV((_XLL.KOMPLEXE(1,2*PI()*fc*1000*esrcout*0.001*cout*0.000001)),(_XLL.KOMPLEXE(1,2*PI()*fc*1000*rload*cout*0.000001)))</f>
        <v>3.44533392761843e-005-9.43107909171217e-005i</v>
      </c>
    </row>
    <row r="135" spans="1:3" ht="12.75" hidden="1">
      <c r="A135" s="39" t="s">
        <v>225</v>
      </c>
      <c r="B135" s="39" t="s">
        <v>225</v>
      </c>
      <c r="C135" s="39" t="str">
        <f>IMDIV(1,(_XLL.KOMPLEXE((1-(fc/fpp)^2),(fc/fpp))))</f>
        <v>0.999899000101-0.100999899000101i</v>
      </c>
    </row>
    <row r="136" spans="1:5" ht="12.75" hidden="1">
      <c r="A136" s="39" t="s">
        <v>226</v>
      </c>
      <c r="C136" s="39" t="str">
        <f>_XLL.IMPRODUKT(n1divd1,d2a)</f>
        <v>2.49244791351483e-005-9.77810493238753e-005i</v>
      </c>
      <c r="E136" s="39"/>
    </row>
    <row r="137" spans="1:3" ht="12.75" hidden="1">
      <c r="A137" s="39" t="s">
        <v>227</v>
      </c>
      <c r="C137" s="39" t="str">
        <f>_XLL.IMPRODUKT(constant,C136)</f>
        <v>0.0263801229908518-0.103491675527165i</v>
      </c>
    </row>
    <row r="138" spans="1:3" ht="12.75" hidden="1">
      <c r="A138" s="39" t="s">
        <v>228</v>
      </c>
      <c r="B138" s="39" t="s">
        <v>229</v>
      </c>
      <c r="C138" s="39">
        <f>IMABS(C137)</f>
        <v>0.10680092599051974</v>
      </c>
    </row>
    <row r="139" spans="1:4" ht="12.75">
      <c r="A139" s="8" t="s">
        <v>230</v>
      </c>
      <c r="B139" s="8" t="s">
        <v>231</v>
      </c>
      <c r="C139" s="25">
        <f>RII/C138</f>
        <v>85.11162160529283</v>
      </c>
      <c r="D139" s="8" t="s">
        <v>208</v>
      </c>
    </row>
    <row r="140" spans="1:4" ht="12.75">
      <c r="A140" s="8" t="s">
        <v>195</v>
      </c>
      <c r="B140" s="8" t="s">
        <v>231</v>
      </c>
      <c r="C140" s="8">
        <f>(IF((10^(LOG(C139)-INT(LOG(C139)))*100)-VLOOKUP((10^(LOG(C139)-INT(LOG(C139)))*100),E48_s:E48_f,1)&lt;VLOOKUP((10^(LOG(C139)-INT(LOG(C139)))*100),E48_s:E48_f,2)-(10^(LOG(C139)-INT(LOG(C139)))*100),VLOOKUP((10^(LOG(C139)-INT(LOG(C139)))*100),E48_s:E48_f,1),VLOOKUP((10^(LOG(C139)-INT(LOG(C139)))*100),E48_s:E48_f,2)))*10^INT(LOG(C139))/100</f>
        <v>86.6</v>
      </c>
      <c r="D140" s="8" t="s">
        <v>208</v>
      </c>
    </row>
    <row r="141" spans="1:4" ht="12.75">
      <c r="A141" s="8" t="s">
        <v>211</v>
      </c>
      <c r="B141" s="8" t="s">
        <v>231</v>
      </c>
      <c r="C141" s="17">
        <v>27.4</v>
      </c>
      <c r="D141" s="8" t="s">
        <v>208</v>
      </c>
    </row>
    <row r="142" spans="1:5" ht="12.75">
      <c r="A142" s="8" t="s">
        <v>232</v>
      </c>
      <c r="B142" s="8" t="s">
        <v>233</v>
      </c>
      <c r="C142" s="25">
        <f>(1/(2*PI()*C141*(fc/5)))*10^3</f>
        <v>23.234298261590563</v>
      </c>
      <c r="D142" s="8" t="s">
        <v>234</v>
      </c>
      <c r="E142" s="25"/>
    </row>
    <row r="143" spans="1:4" ht="18" customHeight="1">
      <c r="A143" s="8" t="s">
        <v>235</v>
      </c>
      <c r="B143" s="8" t="s">
        <v>236</v>
      </c>
      <c r="C143" s="41">
        <f>IF(C142&lt;10000,C144*10^INT(LOG(C142)),C145*10^INT(LOG(C142)))</f>
        <v>22</v>
      </c>
      <c r="D143" s="8" t="s">
        <v>234</v>
      </c>
    </row>
    <row r="144" spans="1:3" ht="18" customHeight="1" hidden="1">
      <c r="A144" s="39" t="s">
        <v>237</v>
      </c>
      <c r="C144" s="42">
        <f>IF((10^(LOG(C142)-INT(LOG(C142))))-VLOOKUP((10^(LOG(C142)-INT(LOG(C142)))),c_s1:C_f1,1)&lt;VLOOKUP((10^(LOG(C142)-INT(LOG(C142)))),c_s1:C_f1,2)-(10^(LOG(C142)-INT(LOG(C142)))),VLOOKUP((10^(LOG(C142)-INT(LOG(C142)))),c_s1:C_f1,1),VLOOKUP((10^(LOG(C142)-INT(LOG(C142)))),c_s1:C_f1,2))</f>
        <v>2.2</v>
      </c>
    </row>
    <row r="145" spans="1:3" ht="18" customHeight="1" hidden="1">
      <c r="A145" s="39" t="s">
        <v>238</v>
      </c>
      <c r="C145" s="42">
        <f>IF((10^(LOG(C142)-INT(LOG(C142))))-VLOOKUP((10^(LOG(C142)-INT(LOG(C142)))),C_s2:C_f2,1)&lt;VLOOKUP((10^(LOG(C142)-INT(LOG(C142)))),C_s2:C_f2,2)-(10^(LOG(C142)-INT(LOG(C142)))),VLOOKUP((10^(LOG(C142)-INT(LOG(C142)))),C_s2:C_f2,1),VLOOKUP((10^(LOG(C142)-INT(LOG(C142)))),C_s2:C_f2,2))</f>
        <v>2.2</v>
      </c>
    </row>
    <row r="146" spans="1:4" ht="12.75">
      <c r="A146" s="8" t="s">
        <v>239</v>
      </c>
      <c r="B146" s="8" t="s">
        <v>233</v>
      </c>
      <c r="C146" s="17">
        <v>5.6</v>
      </c>
      <c r="D146" s="8" t="s">
        <v>234</v>
      </c>
    </row>
    <row r="147" spans="1:5" ht="12.75">
      <c r="A147" s="43" t="s">
        <v>240</v>
      </c>
      <c r="B147" s="43" t="s">
        <v>241</v>
      </c>
      <c r="C147" s="44">
        <f>1000000/(2*PI()*rf*fc*2)</f>
        <v>2323.429826159056</v>
      </c>
      <c r="D147" s="8" t="s">
        <v>93</v>
      </c>
      <c r="E147" s="44" t="s">
        <v>11</v>
      </c>
    </row>
    <row r="148" spans="1:5" ht="12.75">
      <c r="A148" s="8" t="s">
        <v>235</v>
      </c>
      <c r="B148" s="43" t="s">
        <v>241</v>
      </c>
      <c r="C148" s="41">
        <f>IF(C147&lt;10000,C149*10^INT(LOG(C147)),C150*10^INT(LOG(C147)))</f>
        <v>2200</v>
      </c>
      <c r="D148" s="8" t="s">
        <v>93</v>
      </c>
      <c r="E148" s="41"/>
    </row>
    <row r="149" spans="1:3" ht="12.75" hidden="1">
      <c r="A149" s="39" t="s">
        <v>237</v>
      </c>
      <c r="B149" s="45"/>
      <c r="C149" s="42">
        <f>IF((10^(LOG(C147)-INT(LOG(C147))))-VLOOKUP((10^(LOG(C147)-INT(LOG(C147)))),c_s1:C_f1,1)&lt;VLOOKUP((10^(LOG(C147)-INT(LOG(C147)))),c_s1:C_f1,2)-(10^(LOG(C147)-INT(LOG(C147)))),VLOOKUP((10^(LOG(C147)-INT(LOG(C147)))),c_s1:C_f1,1),VLOOKUP((10^(LOG(C147)-INT(LOG(C147)))),c_s1:C_f1,2))</f>
        <v>2.2</v>
      </c>
    </row>
    <row r="150" spans="1:3" ht="12.75" hidden="1">
      <c r="A150" s="39" t="s">
        <v>238</v>
      </c>
      <c r="B150" s="45"/>
      <c r="C150" s="42">
        <f>IF((10^(LOG(C147)-INT(LOG(C147))))-VLOOKUP((10^(LOG(C147)-INT(LOG(C147)))),C_s2:C_f2,1)&lt;VLOOKUP((10^(LOG(C147)-INT(LOG(C147)))),C_s2:C_f2,2)-(10^(LOG(C147)-INT(LOG(C147)))),VLOOKUP((10^(LOG(C147)-INT(LOG(C147)))),C_s2:C_f2,1),VLOOKUP((10^(LOG(C147)-INT(LOG(C147)))),C_s2:C_f2,2))</f>
        <v>2.2</v>
      </c>
    </row>
    <row r="151" spans="1:4" ht="12.75">
      <c r="A151" s="8" t="s">
        <v>239</v>
      </c>
      <c r="B151" s="8" t="s">
        <v>241</v>
      </c>
      <c r="C151" s="17">
        <v>560</v>
      </c>
      <c r="D151" s="8" t="s">
        <v>93</v>
      </c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spans="1:6" ht="12.75">
      <c r="A173" s="24" t="s">
        <v>242</v>
      </c>
      <c r="B173" s="34"/>
      <c r="C173" s="34"/>
      <c r="D173" s="34"/>
      <c r="E173" s="24" t="s">
        <v>11</v>
      </c>
      <c r="F173" s="24"/>
    </row>
    <row r="174" spans="1:4" ht="12.75">
      <c r="A174" s="43" t="s">
        <v>243</v>
      </c>
      <c r="B174" s="43" t="s">
        <v>244</v>
      </c>
      <c r="C174" s="17">
        <v>15</v>
      </c>
      <c r="D174" s="8" t="s">
        <v>245</v>
      </c>
    </row>
    <row r="175" spans="1:4" ht="12.75">
      <c r="A175" s="43" t="s">
        <v>246</v>
      </c>
      <c r="B175" s="43" t="s">
        <v>247</v>
      </c>
      <c r="C175" s="44">
        <f>(C174)*(25)/(va1+0.55)</f>
        <v>122.95081967213116</v>
      </c>
      <c r="D175" s="8" t="s">
        <v>234</v>
      </c>
    </row>
    <row r="176" spans="1:4" ht="12.75">
      <c r="A176" s="8" t="s">
        <v>235</v>
      </c>
      <c r="B176" s="43" t="s">
        <v>247</v>
      </c>
      <c r="C176" s="41">
        <f>IF(C175&lt;10000,C177*10^INT(LOG(C175)),C178*10^INT(LOG(C175)))</f>
        <v>120</v>
      </c>
      <c r="D176" s="8" t="s">
        <v>234</v>
      </c>
    </row>
    <row r="177" spans="1:3" ht="12.75" hidden="1">
      <c r="A177" s="39" t="s">
        <v>237</v>
      </c>
      <c r="B177" s="45"/>
      <c r="C177" s="42">
        <f>IF((10^(LOG(C175)-INT(LOG(C175))))-VLOOKUP((10^(LOG(C175)-INT(LOG(C175)))),c_s1:C_f1,1)&lt;VLOOKUP((10^(LOG(C175)-INT(LOG(C175)))),c_s1:C_f1,2)-(10^(LOG(C175)-INT(LOG(C175)))),VLOOKUP((10^(LOG(C175)-INT(LOG(C175)))),c_s1:C_f1,1),VLOOKUP((10^(LOG(C175)-INT(LOG(C175)))),c_s1:C_f1,2))</f>
        <v>1.2</v>
      </c>
    </row>
    <row r="178" spans="1:3" ht="12.75" hidden="1">
      <c r="A178" s="39" t="s">
        <v>248</v>
      </c>
      <c r="B178" s="45"/>
      <c r="C178" s="42">
        <f>IF((10^(LOG(C175)-INT(LOG(C175))))-VLOOKUP((10^(LOG(C175)-INT(LOG(C175)))),C_s2:C_f2,1)&lt;VLOOKUP((10^(LOG(C175)-INT(LOG(C175)))),C_s2:C_f2,2)-(10^(LOG(C175)-INT(LOG(C175)))),VLOOKUP((10^(LOG(C175)-INT(LOG(C175)))),C_s2:C_f2,1),VLOOKUP((10^(LOG(C175)-INT(LOG(C175)))),C_s2:C_f2,2))</f>
        <v>1</v>
      </c>
    </row>
    <row r="179" spans="1:4" ht="12.75">
      <c r="A179" s="8" t="s">
        <v>239</v>
      </c>
      <c r="B179" s="8" t="s">
        <v>247</v>
      </c>
      <c r="C179" s="17">
        <v>150</v>
      </c>
      <c r="D179" s="8" t="s">
        <v>234</v>
      </c>
    </row>
    <row r="180" spans="1:6" ht="12.75">
      <c r="A180" s="24" t="s">
        <v>249</v>
      </c>
      <c r="B180" s="34"/>
      <c r="C180" s="34"/>
      <c r="D180" s="34"/>
      <c r="E180" s="24" t="s">
        <v>11</v>
      </c>
      <c r="F180" s="24"/>
    </row>
    <row r="181" spans="1:4" ht="12.75">
      <c r="A181" s="43" t="s">
        <v>250</v>
      </c>
      <c r="B181" s="43" t="s">
        <v>251</v>
      </c>
      <c r="C181" s="44">
        <f>tdelay</f>
        <v>345.84425756538434</v>
      </c>
      <c r="D181" s="8" t="s">
        <v>163</v>
      </c>
    </row>
    <row r="182" spans="1:4" ht="12.75">
      <c r="A182" s="43" t="s">
        <v>252</v>
      </c>
      <c r="B182" s="43" t="s">
        <v>251</v>
      </c>
      <c r="C182" s="28">
        <v>346</v>
      </c>
      <c r="D182" s="8" t="s">
        <v>163</v>
      </c>
    </row>
    <row r="183" spans="1:4" ht="12.75">
      <c r="A183" s="43" t="s">
        <v>253</v>
      </c>
      <c r="B183" s="43" t="s">
        <v>254</v>
      </c>
      <c r="C183" s="32">
        <v>8.25</v>
      </c>
      <c r="D183" s="8" t="s">
        <v>208</v>
      </c>
    </row>
    <row r="184" spans="1:4" ht="12.75">
      <c r="A184" s="43" t="s">
        <v>255</v>
      </c>
      <c r="B184" s="43" t="s">
        <v>256</v>
      </c>
      <c r="C184" s="36">
        <f>IF(tabset&gt;155,0.2,1.8)</f>
        <v>0.2</v>
      </c>
      <c r="D184" s="8" t="s">
        <v>28</v>
      </c>
    </row>
    <row r="185" spans="1:4" ht="12.75">
      <c r="A185" s="43" t="s">
        <v>257</v>
      </c>
      <c r="B185" s="43" t="s">
        <v>258</v>
      </c>
      <c r="C185" s="46">
        <f>C183*C184/(5-C184)</f>
        <v>0.34375000000000006</v>
      </c>
      <c r="D185" s="8" t="s">
        <v>208</v>
      </c>
    </row>
    <row r="186" spans="1:4" ht="12.75">
      <c r="A186" s="8" t="s">
        <v>195</v>
      </c>
      <c r="B186" s="43" t="s">
        <v>258</v>
      </c>
      <c r="C186" s="8">
        <f>(IF((10^(LOG(C185)-INT(LOG(C185)))*100)-VLOOKUP((10^(LOG(C185)-INT(LOG(C185)))*100),E48_s:E48_f,1)&lt;VLOOKUP((10^(LOG(C185)-INT(LOG(C185)))*100),E48_s:E48_f,2)-(10^(LOG(C185)-INT(LOG(C185)))*100),VLOOKUP((10^(LOG(C185)-INT(LOG(C185)))*100),E48_s:E48_f,1),VLOOKUP((10^(LOG(C185)-INT(LOG(C185)))*100),E48_s:E48_f,2)))*10^INT(LOG(C185))/100</f>
        <v>0.34800000000000003</v>
      </c>
      <c r="D186" s="8" t="s">
        <v>208</v>
      </c>
    </row>
    <row r="187" spans="1:4" ht="12.75">
      <c r="A187" s="43" t="s">
        <v>259</v>
      </c>
      <c r="B187" s="43" t="s">
        <v>258</v>
      </c>
      <c r="C187" s="47">
        <v>0.348</v>
      </c>
      <c r="D187" s="8" t="s">
        <v>208</v>
      </c>
    </row>
    <row r="188" spans="1:4" ht="12.75">
      <c r="A188" s="43" t="s">
        <v>260</v>
      </c>
      <c r="B188" s="43" t="s">
        <v>256</v>
      </c>
      <c r="C188" s="46">
        <f>5*C187/(C183+C187)</f>
        <v>0.2023726448011165</v>
      </c>
      <c r="D188" s="8" t="s">
        <v>28</v>
      </c>
    </row>
    <row r="189" spans="1:4" ht="12.75">
      <c r="A189" s="8" t="s">
        <v>261</v>
      </c>
      <c r="B189" s="43" t="s">
        <v>262</v>
      </c>
      <c r="C189" s="36">
        <f>(tabset-5)*(0.15+(C188*1.46))/5</f>
        <v>30.380648988136766</v>
      </c>
      <c r="D189" s="8" t="s">
        <v>208</v>
      </c>
    </row>
    <row r="190" spans="1:4" ht="12.75">
      <c r="A190" s="8" t="s">
        <v>195</v>
      </c>
      <c r="B190" s="43" t="s">
        <v>262</v>
      </c>
      <c r="C190" s="8">
        <f>(IF((10^(LOG(C189)-INT(LOG(C189)))*100)-VLOOKUP((10^(LOG(C189)-INT(LOG(C189)))*100),E48_s:E48_f,1)&lt;VLOOKUP((10^(LOG(C189)-INT(LOG(C189)))*100),E48_s:E48_f,2)-(10^(LOG(C189)-INT(LOG(C189)))*100),VLOOKUP((10^(LOG(C189)-INT(LOG(C189)))*100),E48_s:E48_f,1),VLOOKUP((10^(LOG(C189)-INT(LOG(C189)))*100),E48_s:E48_f,2)))*10^INT(LOG(C189))/100</f>
        <v>30.1</v>
      </c>
      <c r="D190" s="8" t="s">
        <v>208</v>
      </c>
    </row>
    <row r="191" spans="1:4" ht="12.75">
      <c r="A191" s="8" t="s">
        <v>263</v>
      </c>
      <c r="B191" s="43" t="s">
        <v>262</v>
      </c>
      <c r="C191" s="17">
        <v>30.1</v>
      </c>
      <c r="D191" s="8" t="s">
        <v>208</v>
      </c>
    </row>
    <row r="192" spans="1:6" ht="12.75">
      <c r="A192" s="24" t="s">
        <v>264</v>
      </c>
      <c r="B192" s="34"/>
      <c r="C192" s="34"/>
      <c r="D192" s="34"/>
      <c r="E192" s="24" t="s">
        <v>11</v>
      </c>
      <c r="F192" s="24"/>
    </row>
    <row r="193" spans="1:4" ht="12.75">
      <c r="A193" s="8" t="s">
        <v>265</v>
      </c>
      <c r="B193" s="43" t="s">
        <v>266</v>
      </c>
      <c r="C193" s="44">
        <f>tdelay</f>
        <v>345.84425756538434</v>
      </c>
      <c r="D193" s="8" t="s">
        <v>163</v>
      </c>
    </row>
    <row r="194" spans="1:4" ht="12.75">
      <c r="A194" s="43" t="s">
        <v>252</v>
      </c>
      <c r="B194" s="43" t="s">
        <v>266</v>
      </c>
      <c r="C194" s="28">
        <v>346</v>
      </c>
      <c r="D194" s="8" t="s">
        <v>163</v>
      </c>
    </row>
    <row r="195" spans="1:4" ht="12.75">
      <c r="A195" s="8" t="s">
        <v>261</v>
      </c>
      <c r="B195" s="43" t="s">
        <v>267</v>
      </c>
      <c r="C195" s="36">
        <f>(tcdset-5)*(0.15+(vadel*1.46))/5</f>
        <v>30.380648988136766</v>
      </c>
      <c r="D195" s="8" t="s">
        <v>208</v>
      </c>
    </row>
    <row r="196" spans="1:4" ht="12.75">
      <c r="A196" s="8" t="s">
        <v>195</v>
      </c>
      <c r="B196" s="43" t="s">
        <v>267</v>
      </c>
      <c r="C196" s="8">
        <f>(IF((10^(LOG(C195)-INT(LOG(C195)))*100)-VLOOKUP((10^(LOG(C195)-INT(LOG(C195)))*100),E48_s:E48_f,1)&lt;VLOOKUP((10^(LOG(C195)-INT(LOG(C195)))*100),E48_s:E48_f,2)-(10^(LOG(C195)-INT(LOG(C195)))*100),VLOOKUP((10^(LOG(C195)-INT(LOG(C195)))*100),E48_s:E48_f,1),VLOOKUP((10^(LOG(C195)-INT(LOG(C195)))*100),E48_s:E48_f,2)))*10^INT(LOG(C195))/100</f>
        <v>30.1</v>
      </c>
      <c r="D196" s="8" t="s">
        <v>208</v>
      </c>
    </row>
    <row r="197" spans="1:4" ht="12.75">
      <c r="A197" s="8" t="s">
        <v>263</v>
      </c>
      <c r="B197" s="43" t="s">
        <v>267</v>
      </c>
      <c r="C197" s="17">
        <v>30.1</v>
      </c>
      <c r="D197" s="8" t="s">
        <v>208</v>
      </c>
    </row>
    <row r="198" spans="1:6" ht="12.75">
      <c r="A198" s="24" t="s">
        <v>268</v>
      </c>
      <c r="B198" s="34"/>
      <c r="C198" s="34"/>
      <c r="D198" s="34"/>
      <c r="E198" s="24" t="s">
        <v>11</v>
      </c>
      <c r="F198" s="24"/>
    </row>
    <row r="199" spans="1:4" ht="12.75">
      <c r="A199" s="8" t="s">
        <v>269</v>
      </c>
      <c r="B199" s="8" t="s">
        <v>270</v>
      </c>
      <c r="C199" s="8">
        <f>C182/2</f>
        <v>173</v>
      </c>
      <c r="D199" s="8" t="s">
        <v>163</v>
      </c>
    </row>
    <row r="200" spans="1:4" ht="12.75">
      <c r="A200" s="8" t="s">
        <v>271</v>
      </c>
      <c r="B200" s="8" t="s">
        <v>270</v>
      </c>
      <c r="C200" s="17">
        <v>173</v>
      </c>
      <c r="D200" s="8" t="s">
        <v>163</v>
      </c>
    </row>
    <row r="201" spans="1:4" ht="12.75">
      <c r="A201" s="43" t="s">
        <v>272</v>
      </c>
      <c r="B201" s="8" t="s">
        <v>273</v>
      </c>
      <c r="C201" s="17">
        <v>8.25</v>
      </c>
      <c r="D201" s="8" t="s">
        <v>208</v>
      </c>
    </row>
    <row r="202" spans="1:4" ht="12.75">
      <c r="A202" s="43" t="s">
        <v>274</v>
      </c>
      <c r="B202" s="8" t="s">
        <v>275</v>
      </c>
      <c r="C202" s="16">
        <f>IF(tafset&lt;170,0.2,1.7)</f>
        <v>1.7</v>
      </c>
      <c r="D202" s="8" t="s">
        <v>28</v>
      </c>
    </row>
    <row r="203" spans="1:4" ht="12.75">
      <c r="A203" s="43" t="s">
        <v>276</v>
      </c>
      <c r="B203" s="8" t="s">
        <v>277</v>
      </c>
      <c r="C203" s="48">
        <f>C202*C201/(5-C202)</f>
        <v>4.25</v>
      </c>
      <c r="D203" s="8" t="s">
        <v>208</v>
      </c>
    </row>
    <row r="204" spans="1:4" ht="12.75">
      <c r="A204" s="8" t="s">
        <v>195</v>
      </c>
      <c r="B204" s="8" t="s">
        <v>277</v>
      </c>
      <c r="C204" s="8">
        <f>(IF((10^(LOG(C203)-INT(LOG(C203)))*100)-VLOOKUP((10^(LOG(C203)-INT(LOG(C203)))*100),E48_s:E48_f,1)&lt;VLOOKUP((10^(LOG(C203)-INT(LOG(C203)))*100),E48_s:E48_f,2)-(10^(LOG(C203)-INT(LOG(C203)))*100),VLOOKUP((10^(LOG(C203)-INT(LOG(C203)))*100),E48_s:E48_f,1),VLOOKUP((10^(LOG(C203)-INT(LOG(C203)))*100),E48_s:E48_f,2)))*10^INT(LOG(C203))/100</f>
        <v>4.22</v>
      </c>
      <c r="D204" s="8" t="s">
        <v>208</v>
      </c>
    </row>
    <row r="205" spans="1:4" ht="12.75">
      <c r="A205" s="8" t="s">
        <v>211</v>
      </c>
      <c r="B205" s="8" t="s">
        <v>277</v>
      </c>
      <c r="C205" s="17">
        <v>4.22</v>
      </c>
      <c r="D205" s="8" t="s">
        <v>208</v>
      </c>
    </row>
    <row r="206" spans="1:4" ht="12.75">
      <c r="A206" s="43" t="s">
        <v>274</v>
      </c>
      <c r="B206" s="8" t="s">
        <v>275</v>
      </c>
      <c r="C206" s="49">
        <f>5*C205/(C205+C201)</f>
        <v>1.6920609462710505</v>
      </c>
      <c r="D206" s="8" t="s">
        <v>28</v>
      </c>
    </row>
    <row r="207" spans="1:4" ht="12.75">
      <c r="A207" s="8" t="s">
        <v>261</v>
      </c>
      <c r="B207" s="43" t="s">
        <v>278</v>
      </c>
      <c r="C207" s="36">
        <f>(tafset-4)*(2.65-(C206*1.32))/5</f>
        <v>14.077008821170798</v>
      </c>
      <c r="D207" s="8" t="s">
        <v>208</v>
      </c>
    </row>
    <row r="208" spans="1:4" ht="12.75">
      <c r="A208" s="8" t="s">
        <v>195</v>
      </c>
      <c r="B208" s="43" t="s">
        <v>278</v>
      </c>
      <c r="C208" s="25">
        <f>(IF((10^(LOG(C207)-INT(LOG(C207)))*100)-VLOOKUP((10^(LOG(C207)-INT(LOG(C207)))*100),E48_s:E48_f,1)&lt;VLOOKUP((10^(LOG(C207)-INT(LOG(C207)))*100),E48_s:E48_f,2)-(10^(LOG(C207)-INT(LOG(C207)))*100),VLOOKUP((10^(LOG(C207)-INT(LOG(C207)))*100),E48_s:E48_f,1),VLOOKUP((10^(LOG(C207)-INT(LOG(C207)))*100),E48_s:E48_f,2)))*10^INT(LOG(C207))/100</f>
        <v>14</v>
      </c>
      <c r="D208" s="8" t="s">
        <v>208</v>
      </c>
    </row>
    <row r="209" spans="1:4" ht="12.75">
      <c r="A209" s="8" t="s">
        <v>279</v>
      </c>
      <c r="B209" s="43" t="s">
        <v>278</v>
      </c>
      <c r="C209" s="50">
        <v>14</v>
      </c>
      <c r="D209" s="8" t="s">
        <v>208</v>
      </c>
    </row>
    <row r="210" spans="1:6" ht="12.75">
      <c r="A210" s="24" t="s">
        <v>280</v>
      </c>
      <c r="B210" s="51"/>
      <c r="C210" s="34"/>
      <c r="D210" s="34"/>
      <c r="E210" s="24" t="s">
        <v>11</v>
      </c>
      <c r="F210" s="24"/>
    </row>
    <row r="211" spans="1:4" ht="12.75">
      <c r="A211" s="8" t="s">
        <v>281</v>
      </c>
      <c r="B211" s="8" t="s">
        <v>282</v>
      </c>
      <c r="C211" s="17">
        <v>100</v>
      </c>
      <c r="D211" s="8" t="s">
        <v>163</v>
      </c>
    </row>
    <row r="212" spans="1:4" ht="12.75">
      <c r="A212" s="8" t="s">
        <v>283</v>
      </c>
      <c r="B212" s="8" t="s">
        <v>284</v>
      </c>
      <c r="C212" s="52">
        <f>(C211-15)/6.6</f>
        <v>12.878787878787879</v>
      </c>
      <c r="D212" s="8" t="s">
        <v>208</v>
      </c>
    </row>
    <row r="213" spans="1:4" ht="12.75">
      <c r="A213" s="8" t="s">
        <v>195</v>
      </c>
      <c r="B213" s="43" t="s">
        <v>278</v>
      </c>
      <c r="C213" s="8">
        <f>(IF((10^(LOG(C212)-INT(LOG(C212)))*100)-VLOOKUP((10^(LOG(C212)-INT(LOG(C212)))*100),E48_s:E48_f,1)&lt;VLOOKUP((10^(LOG(C212)-INT(LOG(C212)))*100),E48_s:E48_f,2)-(10^(LOG(C212)-INT(LOG(C212)))*100),VLOOKUP((10^(LOG(C212)-INT(LOG(C212)))*100),E48_s:E48_f,1),VLOOKUP((10^(LOG(C212)-INT(LOG(C212)))*100),E48_s:E48_f,2)))*10^INT(LOG(C212))/100</f>
        <v>12.7</v>
      </c>
      <c r="D213" s="8" t="s">
        <v>208</v>
      </c>
    </row>
    <row r="214" spans="1:4" ht="12.75">
      <c r="A214" s="8" t="s">
        <v>211</v>
      </c>
      <c r="B214" s="43" t="s">
        <v>278</v>
      </c>
      <c r="C214" s="17">
        <v>12.1</v>
      </c>
      <c r="D214" s="8" t="s">
        <v>208</v>
      </c>
    </row>
    <row r="215" spans="1:6" ht="12.75">
      <c r="A215" s="24" t="s">
        <v>285</v>
      </c>
      <c r="B215" s="51"/>
      <c r="C215" s="34"/>
      <c r="D215" s="34"/>
      <c r="E215" s="24" t="s">
        <v>11</v>
      </c>
      <c r="F215" s="24"/>
    </row>
    <row r="216" spans="1:5" ht="12.75">
      <c r="A216" s="8" t="s">
        <v>286</v>
      </c>
      <c r="B216" s="8" t="s">
        <v>287</v>
      </c>
      <c r="C216" s="8">
        <f>(((2.5*10^3)/(fs/2))-1)*2.5</f>
        <v>247.5</v>
      </c>
      <c r="D216" s="8" t="s">
        <v>208</v>
      </c>
      <c r="E216" s="8" t="s">
        <v>11</v>
      </c>
    </row>
    <row r="217" spans="1:4" ht="12.75">
      <c r="A217" s="8" t="s">
        <v>195</v>
      </c>
      <c r="B217" s="43" t="s">
        <v>278</v>
      </c>
      <c r="C217" s="8">
        <f>(IF((10^(LOG(C216)-INT(LOG(C216)))*100)-VLOOKUP((10^(LOG(C216)-INT(LOG(C216)))*100),E48_s:E48_f,1)&lt;VLOOKUP((10^(LOG(C216)-INT(LOG(C216)))*100),E48_s:E48_f,2)-(10^(LOG(C216)-INT(LOG(C216)))*100),VLOOKUP((10^(LOG(C216)-INT(LOG(C216)))*100),E48_s:E48_f,1),VLOOKUP((10^(LOG(C216)-INT(LOG(C216)))*100),E48_s:E48_f,2)))*10^INT(LOG(C216))/100</f>
        <v>249</v>
      </c>
      <c r="D217" s="8" t="s">
        <v>208</v>
      </c>
    </row>
    <row r="218" spans="1:4" ht="12.75">
      <c r="A218" s="8" t="s">
        <v>211</v>
      </c>
      <c r="B218" s="43" t="s">
        <v>278</v>
      </c>
      <c r="C218" s="17">
        <v>61.9</v>
      </c>
      <c r="D218" s="8" t="s">
        <v>208</v>
      </c>
    </row>
    <row r="219" spans="1:6" ht="12.75">
      <c r="A219" s="24" t="s">
        <v>288</v>
      </c>
      <c r="B219" s="51"/>
      <c r="C219" s="34"/>
      <c r="D219" s="34"/>
      <c r="E219" s="24" t="s">
        <v>11</v>
      </c>
      <c r="F219" s="24"/>
    </row>
    <row r="220" spans="1:4" ht="12.75">
      <c r="A220" s="8" t="s">
        <v>289</v>
      </c>
      <c r="B220" s="8" t="s">
        <v>290</v>
      </c>
      <c r="C220" s="49">
        <f>(vin*(1-dtyp))/(lmag2*fs)</f>
        <v>0.2091217257318952</v>
      </c>
      <c r="D220" s="8" t="s">
        <v>51</v>
      </c>
    </row>
    <row r="221" spans="1:4" ht="12.75">
      <c r="A221" s="8" t="s">
        <v>291</v>
      </c>
      <c r="B221" s="8" t="s">
        <v>292</v>
      </c>
      <c r="C221" s="53">
        <f>fs*0.2*0.001</f>
        <v>0.01</v>
      </c>
      <c r="D221" s="8" t="s">
        <v>293</v>
      </c>
    </row>
    <row r="222" spans="1:5" ht="12.75">
      <c r="A222" s="8" t="s">
        <v>294</v>
      </c>
      <c r="B222" s="8" t="s">
        <v>295</v>
      </c>
      <c r="C222" s="53">
        <f>((((dilout/(taa1*2))-C220)*RS*(1-dtyp)*fs)/ta2)*0.001</f>
        <v>0.0005337354707135078</v>
      </c>
      <c r="D222" s="8" t="s">
        <v>293</v>
      </c>
      <c r="E222" s="8" t="s">
        <v>11</v>
      </c>
    </row>
    <row r="223" spans="1:5" ht="12.75">
      <c r="A223" s="8" t="s">
        <v>296</v>
      </c>
      <c r="B223" s="8" t="s">
        <v>297</v>
      </c>
      <c r="C223" s="54">
        <f>IF(Vslope1&gt;Vslope2,Vslope1,Vslope2)</f>
        <v>0.01</v>
      </c>
      <c r="D223" s="8" t="s">
        <v>293</v>
      </c>
      <c r="E223" s="8" t="s">
        <v>11</v>
      </c>
    </row>
    <row r="224" spans="1:5" ht="12.75">
      <c r="A224" s="8" t="s">
        <v>298</v>
      </c>
      <c r="B224" s="8" t="s">
        <v>299</v>
      </c>
      <c r="C224" s="25">
        <f>2.5/(C223*0.5)</f>
        <v>500</v>
      </c>
      <c r="D224" s="8" t="s">
        <v>208</v>
      </c>
      <c r="E224" s="25"/>
    </row>
    <row r="225" spans="1:4" ht="12.75">
      <c r="A225" s="8" t="s">
        <v>195</v>
      </c>
      <c r="B225" s="43" t="s">
        <v>278</v>
      </c>
      <c r="C225" s="55">
        <f>(IF((10^(LOG(C224)-INT(LOG(C224)))*100)-VLOOKUP((10^(LOG(C224)-INT(LOG(C224)))*100),E48_s:E48_f,1)&lt;VLOOKUP((10^(LOG(C224)-INT(LOG(C224)))*100),E48_s:E48_f,2)-(10^(LOG(C224)-INT(LOG(C224)))*100),VLOOKUP((10^(LOG(C224)-INT(LOG(C224)))*100),E48_s:E48_f,1),VLOOKUP((10^(LOG(C224)-INT(LOG(C224)))*100),E48_s:E48_f,2)))*10^INT(LOG(C224))/100</f>
        <v>511</v>
      </c>
      <c r="D225" s="8" t="s">
        <v>208</v>
      </c>
    </row>
    <row r="226" spans="1:4" ht="12.75">
      <c r="A226" s="8" t="s">
        <v>211</v>
      </c>
      <c r="B226" s="43" t="s">
        <v>278</v>
      </c>
      <c r="C226" s="17">
        <v>127</v>
      </c>
      <c r="D226" s="8" t="s">
        <v>208</v>
      </c>
    </row>
    <row r="227" spans="1:6" ht="12.75">
      <c r="A227" s="24" t="s">
        <v>300</v>
      </c>
      <c r="B227" s="51"/>
      <c r="C227" s="34"/>
      <c r="D227" s="34"/>
      <c r="E227" s="24" t="s">
        <v>11</v>
      </c>
      <c r="F227" s="24"/>
    </row>
    <row r="228" spans="1:4" ht="12.75">
      <c r="A228" s="8" t="s">
        <v>301</v>
      </c>
      <c r="B228" s="8" t="s">
        <v>302</v>
      </c>
      <c r="C228" s="29">
        <f>(((pout*0.15/VOUT)+(dilout/2))*RS)/(ta1*ta2)</f>
        <v>0.21258459664320517</v>
      </c>
      <c r="D228" s="8" t="s">
        <v>28</v>
      </c>
    </row>
    <row r="229" spans="1:4" ht="12.75">
      <c r="A229" s="8" t="s">
        <v>206</v>
      </c>
      <c r="B229" s="8" t="s">
        <v>303</v>
      </c>
      <c r="C229" s="17">
        <v>1</v>
      </c>
      <c r="D229" s="8" t="s">
        <v>208</v>
      </c>
    </row>
    <row r="230" spans="1:4" ht="12.75">
      <c r="A230" s="8" t="s">
        <v>304</v>
      </c>
      <c r="B230" s="8" t="s">
        <v>305</v>
      </c>
      <c r="C230" s="25">
        <f>(C229*(5-C228)/C228)</f>
        <v>22.52004838992089</v>
      </c>
      <c r="D230" s="8" t="s">
        <v>208</v>
      </c>
    </row>
    <row r="231" spans="1:4" ht="12.75">
      <c r="A231" s="8" t="s">
        <v>195</v>
      </c>
      <c r="B231" s="8" t="s">
        <v>305</v>
      </c>
      <c r="C231" s="55">
        <f>(IF((10^(LOG(C230)-INT(LOG(C230)))*100)-VLOOKUP((10^(LOG(C230)-INT(LOG(C230)))*100),E48_s:E48_f,1)&lt;VLOOKUP((10^(LOG(C230)-INT(LOG(C230)))*100),E48_s:E48_f,2)-(10^(LOG(C230)-INT(LOG(C230)))*100),VLOOKUP((10^(LOG(C230)-INT(LOG(C230)))*100),E48_s:E48_f,1),VLOOKUP((10^(LOG(C230)-INT(LOG(C230)))*100),E48_s:E48_f,2)))*10^INT(LOG(C230))/100</f>
        <v>22.6</v>
      </c>
      <c r="D231" s="8" t="s">
        <v>208</v>
      </c>
    </row>
    <row r="232" spans="1:4" ht="12.75">
      <c r="A232" s="8" t="s">
        <v>211</v>
      </c>
      <c r="B232" s="8" t="s">
        <v>305</v>
      </c>
      <c r="C232" s="50">
        <v>16.9</v>
      </c>
      <c r="D232" s="8" t="s">
        <v>208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L30:L30"/>
  <sheetViews>
    <sheetView zoomScale="130" zoomScaleNormal="130" workbookViewId="0" topLeftCell="A1">
      <selection activeCell="C11" sqref="C11"/>
    </sheetView>
  </sheetViews>
  <sheetFormatPr defaultColWidth="9.140625" defaultRowHeight="12.75"/>
  <sheetData>
    <row r="30" ht="12.75">
      <c r="L30" t="s">
        <v>11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  <oleObjects>
    <oleObject progId="Microsoft Visio Drawing" shapeId="8107164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I22" sqref="I22"/>
    </sheetView>
  </sheetViews>
  <sheetFormatPr defaultColWidth="9.140625" defaultRowHeight="12.75"/>
  <sheetData/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1:G31"/>
  <sheetViews>
    <sheetView zoomScale="130" zoomScaleNormal="130" workbookViewId="0" topLeftCell="A1">
      <selection activeCell="I3" sqref="I3"/>
    </sheetView>
  </sheetViews>
  <sheetFormatPr defaultColWidth="9.140625" defaultRowHeight="12.75"/>
  <sheetData>
    <row r="31" ht="12.75">
      <c r="G31" t="s">
        <v>11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1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9.140625" style="56" customWidth="1"/>
    <col min="2" max="2" width="10.140625" style="56" customWidth="1"/>
    <col min="3" max="3" width="9.140625" style="56" customWidth="1"/>
    <col min="4" max="4" width="12.421875" style="56" customWidth="1"/>
    <col min="5" max="5" width="21.57421875" style="56" customWidth="1"/>
    <col min="6" max="6" width="15.421875" style="56" customWidth="1"/>
    <col min="7" max="7" width="21.140625" style="56" customWidth="1"/>
    <col min="8" max="8" width="9.140625" style="56" customWidth="1"/>
    <col min="9" max="9" width="14.28125" style="56" customWidth="1"/>
    <col min="10" max="10" width="17.140625" style="56" customWidth="1"/>
    <col min="11" max="11" width="11.8515625" style="56" customWidth="1"/>
    <col min="12" max="12" width="13.57421875" style="56" customWidth="1"/>
    <col min="13" max="16384" width="9.140625" style="56" customWidth="1"/>
  </cols>
  <sheetData>
    <row r="1" spans="1:18" ht="12.75">
      <c r="A1" s="56" t="s">
        <v>306</v>
      </c>
      <c r="B1" s="56" t="s">
        <v>307</v>
      </c>
      <c r="C1" s="56" t="s">
        <v>221</v>
      </c>
      <c r="D1" s="56" t="s">
        <v>308</v>
      </c>
      <c r="E1" s="39" t="s">
        <v>309</v>
      </c>
      <c r="F1" s="56" t="s">
        <v>310</v>
      </c>
      <c r="G1" s="56" t="s">
        <v>311</v>
      </c>
      <c r="H1" s="56" t="s">
        <v>312</v>
      </c>
      <c r="I1" s="57" t="s">
        <v>313</v>
      </c>
      <c r="J1" s="57" t="s">
        <v>314</v>
      </c>
      <c r="K1" s="57" t="s">
        <v>315</v>
      </c>
      <c r="L1" s="56" t="s">
        <v>316</v>
      </c>
      <c r="M1" s="56" t="s">
        <v>317</v>
      </c>
      <c r="N1" s="56" t="s">
        <v>318</v>
      </c>
      <c r="O1" s="56" t="s">
        <v>319</v>
      </c>
      <c r="P1" s="58" t="s">
        <v>320</v>
      </c>
      <c r="Q1" s="58" t="s">
        <v>321</v>
      </c>
      <c r="R1" s="56" t="s">
        <v>322</v>
      </c>
    </row>
    <row r="2" spans="1:18" ht="12.75">
      <c r="A2" s="59">
        <f>1</f>
        <v>1</v>
      </c>
      <c r="B2" s="56">
        <v>100</v>
      </c>
      <c r="C2" s="56">
        <f aca="true" t="shared" si="0" ref="C2:C33">ta1*ta2*(rload/RS)</f>
        <v>1058.40217754644</v>
      </c>
      <c r="D2" s="39" t="str">
        <f>IMDIV((_XLL.KOMPLEXE(1,2*PI()*(B2)*(esrcout*0.001)*(cout*0.000001))),(_XLL.KOMPLEXE(1,2*PI()*(B2)*rload*(cout*0.000001))))</f>
        <v>3.58342599845364e-005-0.00117888325846138i</v>
      </c>
      <c r="E2" s="39" t="str">
        <f>IMDIV(1,(_XLL.KOMPLEXE((1-(B2/(fpp*1000))^2),(B2/(fpp*1000)))))</f>
        <v>0.999999995903738-0.00800051199999791i</v>
      </c>
      <c r="F2" s="56" t="str">
        <f>_XLL.IMPRODUKT(D2,E2)</f>
        <v>2.6402590181833e-005-0.00117916994605938i</v>
      </c>
      <c r="G2" s="56" t="str">
        <f>_XLL.IMPRODUKT(C2,F2)</f>
        <v>0.0279445589413183-1.24803603860657i</v>
      </c>
      <c r="H2" s="60">
        <f>IMABS(G2)</f>
        <v>1.248348850295944</v>
      </c>
      <c r="I2" s="39" t="str">
        <f>IMDIV((_XLL.KOMPLEXE(1,(2*PI()*B2*(rf*1000)*(Cz*0.000000001)))),(_XLL.KOMPLEXE(0,2*PI()*B2*((Cz*0.000000001)+(Cp*0.000000000001))*(RII*1000))))</f>
        <v>2.74027402740274-28.423367888913i</v>
      </c>
      <c r="J2" s="61" t="str">
        <f>IMDIV(1,(_XLL.KOMPLEXE(1,2*PI()*B2*(((Cz*0.000000001)*(Cp*0.000000000001))/((Cz*0.000000001)+(Cp*0.000000000001)))*(rf*1000))))</f>
        <v>0.999923189925458-0.00876379910508019i</v>
      </c>
      <c r="K2" s="61" t="str">
        <f>_XLL.IMPRODUKT(I2,J2)</f>
        <v>2.49096686068221-28.4451998989757i</v>
      </c>
      <c r="L2" s="61" t="str">
        <f>_XLL.IMPRODUKT(G2,K2)</f>
        <v>-35.4310256290304-3.90370497828058i</v>
      </c>
      <c r="M2" s="56">
        <f>20*LOG(IMABS(L2))</f>
        <v>31.04007651161652</v>
      </c>
      <c r="N2" s="56">
        <f>(180/PI())*IMARGUMENT(L2)+180</f>
        <v>6.2873517467416775</v>
      </c>
      <c r="O2" s="56">
        <f aca="true" t="shared" si="1" ref="O2:O55">IF(N2&gt;180,-(360-N2),N2)</f>
        <v>6.2873517467416775</v>
      </c>
      <c r="P2" s="56">
        <v>48.312</v>
      </c>
      <c r="Q2" s="56">
        <v>11.617</v>
      </c>
      <c r="R2" s="56">
        <f>B2</f>
        <v>100</v>
      </c>
    </row>
    <row r="3" spans="1:15" ht="12.75">
      <c r="A3" s="59">
        <f>1+A2</f>
        <v>2</v>
      </c>
      <c r="B3" s="56">
        <v>1000</v>
      </c>
      <c r="C3" s="56">
        <f t="shared" si="0"/>
        <v>1058.40217754644</v>
      </c>
      <c r="D3" s="39" t="str">
        <f>IMDIV((_XLL.KOMPLEXE(1,2*PI()*(B3)*(esrcout*0.001)*(cout*0.000001))),(_XLL.KOMPLEXE(1,2*PI()*(B3)*rload*(cout*0.000001))))</f>
        <v>3.44583426189688e-005-0.000117888488056546i</v>
      </c>
      <c r="E3" s="39" t="str">
        <f>IMDIV(1,(_XLL.KOMPLEXE((1-(B3/(fpp*1000))^2),(B3/(fpp*1000)))))</f>
        <v>0.999958777866806-0.0805119788942678i</v>
      </c>
      <c r="F3" s="56" t="str">
        <f>_XLL.IMPRODUKT(D3,E3)</f>
        <v>2.49654867102944e-005-0.000120657937795253i</v>
      </c>
      <c r="G3" s="56" t="str">
        <f>_XLL.IMPRODUKT(C3,F3)</f>
        <v>0.0264235254976823-0.127704624100756i</v>
      </c>
      <c r="H3" s="60">
        <f>IMABS(G3)</f>
        <v>0.13040963812710338</v>
      </c>
      <c r="I3" s="39" t="str">
        <f>IMDIV((_XLL.KOMPLEXE(1,(2*PI()*B3*(rf*1000)*(Cz*0.000000001)))),(_XLL.KOMPLEXE(0,2*PI()*B3*((Cz*0.000000001)+(Cp*0.000000000001))*(RII*1000))))</f>
        <v>2.74027402740274-2.8423367888913i</v>
      </c>
      <c r="J3" s="61" t="str">
        <f>IMDIV(1,(_XLL.KOMPLEXE(1,2*PI()*B3*(((Cz*0.000000001)*(Cp*0.000000000001))/((Cz*0.000000001)+(Cp*0.000000000001)))*(rf*1000))))</f>
        <v>0.992376959649284-0.0869766037881862i</v>
      </c>
      <c r="K3" s="61" t="str">
        <f>_XLL.IMPRODUKT(I3,J3)</f>
        <v>2.47216800719985-3.05900926921172i</v>
      </c>
      <c r="L3" s="61" t="str">
        <f>_XLL.IMPRODUKT(G3,K3)</f>
        <v>-0.325326234472611-0.396537095496034i</v>
      </c>
      <c r="M3" s="56">
        <f>20*LOG(IMABS(L3))</f>
        <v>-5.799141033126213</v>
      </c>
      <c r="N3" s="56">
        <f>(180/PI())*IMARGUMENT(L3)+180</f>
        <v>50.633924291745615</v>
      </c>
      <c r="O3" s="56">
        <f t="shared" si="1"/>
        <v>50.633924291745615</v>
      </c>
    </row>
    <row r="4" spans="1:15" ht="12.75">
      <c r="A4" s="59">
        <f aca="true" t="shared" si="2" ref="A4:A67">1+A3</f>
        <v>3</v>
      </c>
      <c r="B4" s="56">
        <f aca="true" t="shared" si="3" ref="B4:B35">(fs*1000/2)*(A4/100)</f>
        <v>750</v>
      </c>
      <c r="C4" s="56">
        <f t="shared" si="0"/>
        <v>1058.40217754644</v>
      </c>
      <c r="D4" s="39" t="str">
        <f>IMDIV((_XLL.KOMPLEXE(1,2*PI()*(B4)*(esrcout*0.001)*(cout*0.000001))),(_XLL.KOMPLEXE(1,2*PI()*(B4)*rload*(cout*0.000001))))</f>
        <v>3.44691523099984e-005-0.000157184649042885i</v>
      </c>
      <c r="E4" s="39" t="str">
        <f>IMDIV(1,(_XLL.KOMPLEXE((1-(B4/(fpp*1000))^2),(B4/(fpp*1000)))))</f>
        <v>0.999986993344607-0.0602159971905625i</v>
      </c>
      <c r="F4" s="56" t="str">
        <f>_XLL.IMPRODUKT(D4,E4)</f>
        <v>2.5003673596447e-005-0.000159258198974977i</v>
      </c>
      <c r="G4" s="56" t="str">
        <f>_XLL.IMPRODUKT(C4,F4)</f>
        <v>0.0264639425811399-0.168559224587233i</v>
      </c>
      <c r="H4" s="60">
        <f>IMABS(G4)</f>
        <v>0.17062400900924568</v>
      </c>
      <c r="I4" s="39" t="str">
        <f>IMDIV((_XLL.KOMPLEXE(1,(2*PI()*B4*(rf*1000)*(Cz*0.000000001)))),(_XLL.KOMPLEXE(0,2*PI()*B4*((Cz*0.000000001)+(Cp*0.000000000001))*(RII*1000))))</f>
        <v>2.74027402740274-3.78978238518841i</v>
      </c>
      <c r="J4" s="61" t="str">
        <f>IMDIV(1,(_XLL.KOMPLEXE(1,2*PI()*B4*(((Cz*0.000000001)*(Cp*0.000000000001))/((Cz*0.000000001)+(Cp*0.000000000001)))*(rf*1000))))</f>
        <v>0.995697691258224-0.0654507362927777i</v>
      </c>
      <c r="K4" s="61" t="str">
        <f>_XLL.IMPRODUKT(I4,J4)</f>
        <v>2.4804404749998-3.95283052404067i</v>
      </c>
      <c r="L4" s="61" t="str">
        <f>_XLL.IMPRODUKT(G4,K4)</f>
        <v>-0.600643813750711-0.522708603121944i</v>
      </c>
      <c r="M4" s="56">
        <f>20*LOG(IMABS(L4))</f>
        <v>-1.9791260892088</v>
      </c>
      <c r="N4" s="56">
        <f>(180/PI())*IMARGUMENT(L4)+180</f>
        <v>41.03133001645071</v>
      </c>
      <c r="O4" s="56">
        <f t="shared" si="1"/>
        <v>41.03133001645071</v>
      </c>
    </row>
    <row r="5" spans="1:15" ht="12.75">
      <c r="A5" s="59">
        <f t="shared" si="2"/>
        <v>4</v>
      </c>
      <c r="B5" s="56">
        <f t="shared" si="3"/>
        <v>1000</v>
      </c>
      <c r="C5" s="56">
        <f t="shared" si="0"/>
        <v>1058.40217754644</v>
      </c>
      <c r="D5" s="39" t="str">
        <f>IMDIV((_XLL.KOMPLEXE(1,2*PI()*(B5)*(esrcout*0.001)*(cout*0.000001))),(_XLL.KOMPLEXE(1,2*PI()*(B5)*rload*(cout*0.000001))))</f>
        <v>3.44583426189688e-005-0.000117888488056546i</v>
      </c>
      <c r="E5" s="39" t="str">
        <f>IMDIV(1,(_XLL.KOMPLEXE((1-(B5/(fpp*1000))^2),(B5/(fpp*1000)))))</f>
        <v>0.999958777866806-0.0805119788942678i</v>
      </c>
      <c r="F5" s="56" t="str">
        <f>_XLL.IMPRODUKT(D5,E5)</f>
        <v>2.49654867102944e-005-0.000120657937795253i</v>
      </c>
      <c r="G5" s="56" t="str">
        <f>_XLL.IMPRODUKT(C5,F5)</f>
        <v>0.0264235254976823-0.127704624100756i</v>
      </c>
      <c r="H5" s="60">
        <f>IMABS(G5)</f>
        <v>0.13040963812710338</v>
      </c>
      <c r="I5" s="39" t="str">
        <f>IMDIV((_XLL.KOMPLEXE(1,(2*PI()*B5*(rf*1000)*(Cz*0.000000001)))),(_XLL.KOMPLEXE(0,2*PI()*B5*((Cz*0.000000001)+(Cp*0.000000000001))*(RII*1000))))</f>
        <v>2.74027402740274-2.8423367888913i</v>
      </c>
      <c r="J5" s="61" t="str">
        <f>IMDIV(1,(_XLL.KOMPLEXE(1,2*PI()*B5*(((Cz*0.000000001)*(Cp*0.000000000001))/((Cz*0.000000001)+(Cp*0.000000000001)))*(rf*1000))))</f>
        <v>0.992376959649284-0.0869766037881862i</v>
      </c>
      <c r="K5" s="61" t="str">
        <f>_XLL.IMPRODUKT(I5,J5)</f>
        <v>2.47216800719985-3.05900926921172i</v>
      </c>
      <c r="L5" s="61" t="str">
        <f>_XLL.IMPRODUKT(G5,K5)</f>
        <v>-0.325326234472611-0.396537095496034i</v>
      </c>
      <c r="M5" s="56">
        <f>20*LOG(IMABS(L5))</f>
        <v>-5.799141033126213</v>
      </c>
      <c r="N5" s="56">
        <f>(180/PI())*IMARGUMENT(L5)+180</f>
        <v>50.633924291745615</v>
      </c>
      <c r="O5" s="56">
        <f t="shared" si="1"/>
        <v>50.633924291745615</v>
      </c>
    </row>
    <row r="6" spans="1:15" ht="12.75">
      <c r="A6" s="59">
        <f t="shared" si="2"/>
        <v>5</v>
      </c>
      <c r="B6" s="56">
        <f t="shared" si="3"/>
        <v>1250</v>
      </c>
      <c r="C6" s="56">
        <f t="shared" si="0"/>
        <v>1058.40217754644</v>
      </c>
      <c r="D6" s="39" t="str">
        <f>IMDIV((_XLL.KOMPLEXE(1,2*PI()*(B6)*(esrcout*0.001)*(cout*0.000001))),(_XLL.KOMPLEXE(1,2*PI()*(B6)*rload*(cout*0.000001))))</f>
        <v>3.44533392761843e-005-9.43107909171217e-005i</v>
      </c>
      <c r="E6" s="39" t="str">
        <f>IMDIV(1,(_XLL.KOMPLEXE((1-(B6/(fpp*1000))^2),(B6/(fpp*1000)))))</f>
        <v>0.999899000101-0.100999899000101i</v>
      </c>
      <c r="F6" s="56" t="str">
        <f>_XLL.IMPRODUKT(D6,E6)</f>
        <v>2.49244791351483e-005-9.77810493238753e-005i</v>
      </c>
      <c r="G6" s="56" t="str">
        <f>_XLL.IMPRODUKT(C6,F6)</f>
        <v>0.0263801229908518-0.103491675527165i</v>
      </c>
      <c r="H6" s="60">
        <f>IMABS(G6)</f>
        <v>0.10680092599051974</v>
      </c>
      <c r="I6" s="39" t="str">
        <f>IMDIV((_XLL.KOMPLEXE(1,(2*PI()*B6*(rf*1000)*(Cz*0.000000001)))),(_XLL.KOMPLEXE(0,2*PI()*B6*((Cz*0.000000001)+(Cp*0.000000000001))*(RII*1000))))</f>
        <v>2.74027402740273-2.27386943111304i</v>
      </c>
      <c r="J6" s="61" t="str">
        <f>IMDIV(1,(_XLL.KOMPLEXE(1,2*PI()*B6*(((Cz*0.000000001)*(Cp*0.000000000001))/((Cz*0.000000001)+(Cp*0.000000000001)))*(rf*1000))))</f>
        <v>0.988139855280498-0.10825655493657i</v>
      </c>
      <c r="K6" s="61" t="str">
        <f>_XLL.IMPRODUKT(I6,J6)</f>
        <v>2.46161270987877-2.54355363637557i</v>
      </c>
      <c r="L6" s="61" t="str">
        <f>_XLL.IMPRODUKT(G6,K6)</f>
        <v>-0.198298981579275-0.321855681605735i</v>
      </c>
      <c r="M6" s="56">
        <f>20*LOG(IMABS(L6))</f>
        <v>-8.449265444350178</v>
      </c>
      <c r="N6" s="56">
        <f>(180/PI())*IMARGUMENT(L6)+180</f>
        <v>58.36230043915208</v>
      </c>
      <c r="O6" s="56">
        <f t="shared" si="1"/>
        <v>58.36230043915208</v>
      </c>
    </row>
    <row r="7" spans="1:15" ht="12.75">
      <c r="A7" s="59">
        <f t="shared" si="2"/>
        <v>6</v>
      </c>
      <c r="B7" s="56">
        <f t="shared" si="3"/>
        <v>1500</v>
      </c>
      <c r="C7" s="56">
        <f t="shared" si="0"/>
        <v>1058.40217754644</v>
      </c>
      <c r="D7" s="39" t="str">
        <f>IMDIV((_XLL.KOMPLEXE(1,2*PI()*(B7)*(esrcout*0.001)*(cout*0.000001))),(_XLL.KOMPLEXE(1,2*PI()*(B7)*rload*(cout*0.000001))))</f>
        <v>3.44506214109473e-005-7.85923259778789e-005i</v>
      </c>
      <c r="E7" s="39" t="str">
        <f>IMDIV(1,(_XLL.KOMPLEXE((1-(B7/(fpp*1000))^2),(B7/(fpp*1000)))))</f>
        <v>0.999789654644088-0.121727636523225i</v>
      </c>
      <c r="F7" s="56" t="str">
        <f>_XLL.IMPRODUKT(D7,E7)</f>
        <v>2.48765167925752e-005-8.27693871682102e-005i</v>
      </c>
      <c r="G7" s="56" t="str">
        <f>_XLL.IMPRODUKT(C7,F7)</f>
        <v>0.0263293595430322-0.087603299613018i</v>
      </c>
      <c r="H7" s="60">
        <f>IMABS(G7)</f>
        <v>0.09147444056693906</v>
      </c>
      <c r="I7" s="39" t="str">
        <f>IMDIV((_XLL.KOMPLEXE(1,(2*PI()*B7*(rf*1000)*(Cz*0.000000001)))),(_XLL.KOMPLEXE(0,2*PI()*B7*((Cz*0.000000001)+(Cp*0.000000000001))*(RII*1000))))</f>
        <v>2.74027402740273-1.8948911925942i</v>
      </c>
      <c r="J7" s="61" t="str">
        <f>IMDIV(1,(_XLL.KOMPLEXE(1,2*PI()*B7*(((Cz*0.000000001)*(Cp*0.000000000001))/((Cz*0.000000001)+(Cp*0.000000000001)))*(rf*1000))))</f>
        <v>0.983010053025072-0.129233465776929i</v>
      </c>
      <c r="K7" s="61" t="str">
        <f>_XLL.IMPRODUKT(I7,J7)</f>
        <v>2.44883356089126-2.21683220144853i</v>
      </c>
      <c r="L7" s="61" t="str">
        <f>_XLL.IMPRODUKT(G7,K7)</f>
        <v>-0.129725596249532-0.272893672215681i</v>
      </c>
      <c r="M7" s="56">
        <f>20*LOG(IMABS(L7))</f>
        <v>-10.395307129704587</v>
      </c>
      <c r="N7" s="56">
        <f>(180/PI())*IMARGUMENT(L7)+180</f>
        <v>64.57496504844755</v>
      </c>
      <c r="O7" s="56">
        <f t="shared" si="1"/>
        <v>64.57496504844755</v>
      </c>
    </row>
    <row r="8" spans="1:15" ht="12.75">
      <c r="A8" s="59">
        <f t="shared" si="2"/>
        <v>7</v>
      </c>
      <c r="B8" s="56">
        <f t="shared" si="3"/>
        <v>1750.0000000000002</v>
      </c>
      <c r="C8" s="56">
        <f t="shared" si="0"/>
        <v>1058.40217754644</v>
      </c>
      <c r="D8" s="39" t="str">
        <f>IMDIV((_XLL.KOMPLEXE(1,2*PI()*(B8)*(esrcout*0.001)*(cout*0.000001))),(_XLL.KOMPLEXE(1,2*PI()*(B8)*rload*(cout*0.000001))))</f>
        <v>3.44489826239234e-005-6.73648509485824e-005i</v>
      </c>
      <c r="E8" s="39" t="str">
        <f>IMDIV(1,(_XLL.KOMPLEXE((1-(B8/(fpp*1000))^2),(B8/(fpp*1000)))))</f>
        <v>0.999608313413218-0.142742925212006i</v>
      </c>
      <c r="F8" s="56" t="str">
        <f>_XLL.IMPRODUKT(D8,E8)</f>
        <v>2.48196335386299e-005-7.22558135903617e-005i</v>
      </c>
      <c r="G8" s="56" t="str">
        <f>_XLL.IMPRODUKT(C8,F8)</f>
        <v>0.0262691541831905-0.0764757104444285i</v>
      </c>
      <c r="H8" s="60">
        <f>IMABS(G8)</f>
        <v>0.08086162717556646</v>
      </c>
      <c r="I8" s="39" t="str">
        <f>IMDIV((_XLL.KOMPLEXE(1,(2*PI()*B8*(rf*1000)*(Cz*0.000000001)))),(_XLL.KOMPLEXE(0,2*PI()*B8*((Cz*0.000000001)+(Cp*0.000000000001))*(RII*1000))))</f>
        <v>2.74027402740274-1.62419245079503i</v>
      </c>
      <c r="J8" s="61" t="str">
        <f>IMDIV(1,(_XLL.KOMPLEXE(1,2*PI()*B8*(((Cz*0.000000001)*(Cp*0.000000000001))/((Cz*0.000000001)+(Cp*0.000000000001)))*(rf*1000))))</f>
        <v>0.977015808355375-0.14985298989032i</v>
      </c>
      <c r="K8" s="61" t="str">
        <f>_XLL.IMPRODUKT(I8,J8)</f>
        <v>2.43390094908921-1.99749995636329i</v>
      </c>
      <c r="L8" s="61" t="str">
        <f>_XLL.IMPRODUKT(G8,K8)</f>
        <v>-0.0888237089773594-0.23860693856759i</v>
      </c>
      <c r="M8" s="56">
        <f>20*LOG(IMABS(L8))</f>
        <v>-11.88271393582536</v>
      </c>
      <c r="N8" s="56">
        <f>(180/PI())*IMARGUMENT(L8)+180</f>
        <v>69.58173725590045</v>
      </c>
      <c r="O8" s="56">
        <f t="shared" si="1"/>
        <v>69.58173725590045</v>
      </c>
    </row>
    <row r="9" spans="1:15" ht="12.75">
      <c r="A9" s="59">
        <f t="shared" si="2"/>
        <v>8</v>
      </c>
      <c r="B9" s="56">
        <f t="shared" si="3"/>
        <v>2000</v>
      </c>
      <c r="C9" s="56">
        <f t="shared" si="0"/>
        <v>1058.40217754644</v>
      </c>
      <c r="D9" s="39" t="str">
        <f>IMDIV((_XLL.KOMPLEXE(1,2*PI()*(B9)*(esrcout*0.001)*(cout*0.000001))),(_XLL.KOMPLEXE(1,2*PI()*(B9)*rload*(cout*0.000001))))</f>
        <v>3.44479189881117e-005-5.8944244642707e-005i</v>
      </c>
      <c r="E9" s="39" t="str">
        <f>IMDIV(1,(_XLL.KOMPLEXE((1-(B9/(fpp*1000))^2),(B9/(fpp*1000)))))</f>
        <v>0.999327874060402-0.164093246972151i</v>
      </c>
      <c r="F9" s="56" t="str">
        <f>_XLL.IMPRODUKT(D9,E9)</f>
        <v>2.4752413154452e-005-6.45572975650855e-005i</v>
      </c>
      <c r="G9" s="56" t="str">
        <f>_XLL.IMPRODUKT(C9,F9)</f>
        <v>0.0261980079822011-0.0683275843194i</v>
      </c>
      <c r="H9" s="60">
        <f>IMABS(G9)</f>
        <v>0.07317782725088379</v>
      </c>
      <c r="I9" s="39" t="str">
        <f>IMDIV((_XLL.KOMPLEXE(1,(2*PI()*B9*(rf*1000)*(Cz*0.000000001)))),(_XLL.KOMPLEXE(0,2*PI()*B9*((Cz*0.000000001)+(Cp*0.000000000001))*(RII*1000))))</f>
        <v>2.74027402740274-1.42116839444565i</v>
      </c>
      <c r="J9" s="61" t="str">
        <f>IMDIV(1,(_XLL.KOMPLEXE(1,2*PI()*B9*(((Cz*0.000000001)*(Cp*0.000000000001))/((Cz*0.000000001)+(Cp*0.000000000001)))*(rf*1000))))</f>
        <v>0.970189576774496-0.170063993521909i</v>
      </c>
      <c r="K9" s="61" t="str">
        <f>_XLL.IMPRODUKT(I9,J9)</f>
        <v>2.41689572626546-1.84482470757699i</v>
      </c>
      <c r="L9" s="61" t="str">
        <f>_XLL.IMPRODUKT(G9,K9)</f>
        <v>-0.062734562232629-0.213471378942465i</v>
      </c>
      <c r="M9" s="56">
        <f>20*LOG(IMABS(L9))</f>
        <v>-13.053451896939752</v>
      </c>
      <c r="N9" s="56">
        <f>(180/PI())*IMARGUMENT(L9)+180</f>
        <v>73.62309301368352</v>
      </c>
      <c r="O9" s="56">
        <f t="shared" si="1"/>
        <v>73.62309301368352</v>
      </c>
    </row>
    <row r="10" spans="1:15" ht="12.75">
      <c r="A10" s="59">
        <f t="shared" si="2"/>
        <v>9</v>
      </c>
      <c r="B10" s="56">
        <f t="shared" si="3"/>
        <v>2250</v>
      </c>
      <c r="C10" s="56">
        <f t="shared" si="0"/>
        <v>1058.40217754644</v>
      </c>
      <c r="D10" s="39" t="str">
        <f>IMDIV((_XLL.KOMPLEXE(1,2*PI()*(B10)*(esrcout*0.001)*(cout*0.000001))),(_XLL.KOMPLEXE(1,2*PI()*(B10)*rload*(cout*0.000001))))</f>
        <v>3.44471897628996e-005-5.23948841650597e-005i</v>
      </c>
      <c r="E10" s="39" t="str">
        <f>IMDIV(1,(_XLL.KOMPLEXE((1-(B10/(fpp*1000))^2),(B10/(fpp*1000)))))</f>
        <v>0.99891626463625-0.185825679655359i</v>
      </c>
      <c r="F10" s="56" t="str">
        <f>_XLL.IMPRODUKT(D10,E10)</f>
        <v>2.46735431647357e-005-5.87392744261184e-005i</v>
      </c>
      <c r="G10" s="56" t="str">
        <f>_XLL.IMPRODUKT(C10,F10)</f>
        <v>0.0261145318133423-0.0621697759601016i</v>
      </c>
      <c r="H10" s="60">
        <f>IMABS(G10)</f>
        <v>0.06743181604227558</v>
      </c>
      <c r="I10" s="39" t="str">
        <f>IMDIV((_XLL.KOMPLEXE(1,(2*PI()*B10*(rf*1000)*(Cz*0.000000001)))),(_XLL.KOMPLEXE(0,2*PI()*B10*((Cz*0.000000001)+(Cp*0.000000000001))*(RII*1000))))</f>
        <v>2.74027402740274-1.2632607950628i</v>
      </c>
      <c r="J10" s="61" t="str">
        <f>IMDIV(1,(_XLL.KOMPLEXE(1,2*PI()*B10*(((Cz*0.000000001)*(Cp*0.000000000001))/((Cz*0.000000001)+(Cp*0.000000000001)))*(rf*1000))))</f>
        <v>0.962567587681947-0.189818931685183i</v>
      </c>
      <c r="K10" s="61" t="str">
        <f>_XLL.IMPRODUKT(I10,J10)</f>
        <v>2.39790814558595-1.73612978452302i</v>
      </c>
      <c r="L10" s="61" t="str">
        <f>_XLL.IMPRODUKT(G10,K10)</f>
        <v>-0.0453145511880787-0.194415628673999i</v>
      </c>
      <c r="M10" s="56">
        <f>20*LOG(IMABS(L10))</f>
        <v>-13.995624629405423</v>
      </c>
      <c r="N10" s="56">
        <f>(180/PI())*IMARGUMENT(L10)+180</f>
        <v>76.87970020898291</v>
      </c>
      <c r="O10" s="56">
        <f t="shared" si="1"/>
        <v>76.87970020898291</v>
      </c>
    </row>
    <row r="11" spans="1:15" ht="12.75">
      <c r="A11" s="59">
        <f t="shared" si="2"/>
        <v>10</v>
      </c>
      <c r="B11" s="56">
        <f t="shared" si="3"/>
        <v>2500</v>
      </c>
      <c r="C11" s="56">
        <f t="shared" si="0"/>
        <v>1058.40217754644</v>
      </c>
      <c r="D11" s="39" t="str">
        <f>IMDIV((_XLL.KOMPLEXE(1,2*PI()*(B11)*(esrcout*0.001)*(cout*0.000001))),(_XLL.KOMPLEXE(1,2*PI()*(B11)*rload*(cout*0.000001))))</f>
        <v>3.44466681523943e-005-4.71553957731514e-005i</v>
      </c>
      <c r="E11" s="39" t="str">
        <f>IMDIV(1,(_XLL.KOMPLEXE((1-(B11/(fpp*1000))^2),(B11/(fpp*1000)))))</f>
        <v>0.998336106489184-0.207986688851913i</v>
      </c>
      <c r="F11" s="56" t="str">
        <f>_XLL.IMPRODUKT(D11,E11)</f>
        <v>2.4581657936427e-005-5.42413826671216e-005i</v>
      </c>
      <c r="G11" s="56" t="str">
        <f>_XLL.IMPRODUKT(C11,F11)</f>
        <v>0.0260172802876161-0.0574091975280112i</v>
      </c>
      <c r="H11" s="60">
        <f>IMABS(G11)</f>
        <v>0.06302947591702304</v>
      </c>
      <c r="I11" s="39" t="str">
        <f>IMDIV((_XLL.KOMPLEXE(1,(2*PI()*B11*(rf*1000)*(Cz*0.000000001)))),(_XLL.KOMPLEXE(0,2*PI()*B11*((Cz*0.000000001)+(Cp*0.000000000001))*(RII*1000))))</f>
        <v>2.74027402740274-1.13693471555652i</v>
      </c>
      <c r="J11" s="61" t="str">
        <f>IMDIV(1,(_XLL.KOMPLEXE(1,2*PI()*B11*(((Cz*0.000000001)*(Cp*0.000000000001))/((Cz*0.000000001)+(Cp*0.000000000001)))*(rf*1000))))</f>
        <v>0.954189382772031-0.209074160472214i</v>
      </c>
      <c r="K11" s="61" t="str">
        <f>_XLL.IMPRODUKT(I11,J11)</f>
        <v>2.37703671166695-1.65777152623201i</v>
      </c>
      <c r="L11" s="61" t="str">
        <f>_XLL.IMPRODUKT(G11,K11)</f>
        <v>-0.0333273026243738-0.17959447656223i</v>
      </c>
      <c r="M11" s="56">
        <f>20*LOG(IMABS(L11))</f>
        <v>-14.767103662534415</v>
      </c>
      <c r="N11" s="56">
        <f>(180/PI())*IMARGUMENT(L11)+180</f>
        <v>79.487220926405</v>
      </c>
      <c r="O11" s="56">
        <f t="shared" si="1"/>
        <v>79.487220926405</v>
      </c>
    </row>
    <row r="12" spans="1:15" ht="12.75">
      <c r="A12" s="59">
        <f t="shared" si="2"/>
        <v>11</v>
      </c>
      <c r="B12" s="56">
        <f t="shared" si="3"/>
        <v>2750</v>
      </c>
      <c r="C12" s="56">
        <f t="shared" si="0"/>
        <v>1058.40217754644</v>
      </c>
      <c r="D12" s="39" t="str">
        <f>IMDIV((_XLL.KOMPLEXE(1,2*PI()*(B12)*(esrcout*0.001)*(cout*0.000001))),(_XLL.KOMPLEXE(1,2*PI()*(B12)*rload*(cout*0.000001))))</f>
        <v>3.44462822196103e-005-4.28685416285008e-005i</v>
      </c>
      <c r="E12" s="39" t="str">
        <f>IMDIV(1,(_XLL.KOMPLEXE((1-(B12/(fpp*1000))^2),(B12/(fpp*1000)))))</f>
        <v>0.997544338518663-0.230621852116547i</v>
      </c>
      <c r="F12" s="56" t="str">
        <f>_XLL.IMPRODUKT(D12,E12)</f>
        <v>2.44752713432882e-005-5.07073364060784e-005i</v>
      </c>
      <c r="G12" s="56" t="str">
        <f>_XLL.IMPRODUKT(C12,F12)</f>
        <v>0.0259046804857762-0.0536687552697733i</v>
      </c>
      <c r="H12" s="60">
        <f>IMABS(G12)</f>
        <v>0.05959352115185824</v>
      </c>
      <c r="I12" s="39" t="str">
        <f>IMDIV((_XLL.KOMPLEXE(1,(2*PI()*B12*(rf*1000)*(Cz*0.000000001)))),(_XLL.KOMPLEXE(0,2*PI()*B12*((Cz*0.000000001)+(Cp*0.000000000001))*(RII*1000))))</f>
        <v>2.74027402740274-1.03357701414229i</v>
      </c>
      <c r="J12" s="61" t="str">
        <f>IMDIV(1,(_XLL.KOMPLEXE(1,2*PI()*B12*(((Cz*0.000000001)*(Cp*0.000000000001))/((Cz*0.000000001)+(Cp*0.000000000001)))*(rf*1000))))</f>
        <v>0.945097329451469-0.227790182657572i</v>
      </c>
      <c r="K12" s="61" t="str">
        <f>_XLL.IMPRODUKT(I12,J12)</f>
        <v>2.35438696842141-1.60103839708217i</v>
      </c>
      <c r="L12" s="61" t="str">
        <f>_XLL.IMPRODUKT(G12,K12)</f>
        <v>-0.0249360957536812-0.167831406140425i</v>
      </c>
      <c r="M12" s="56">
        <f>20*LOG(IMABS(L12))</f>
        <v>-15.407705577117119</v>
      </c>
      <c r="N12" s="56">
        <f>(180/PI())*IMARGUMENT(L12)+180</f>
        <v>81.54891899772286</v>
      </c>
      <c r="O12" s="56">
        <f t="shared" si="1"/>
        <v>81.54891899772286</v>
      </c>
    </row>
    <row r="13" spans="1:15" ht="12.75">
      <c r="A13" s="59">
        <f t="shared" si="2"/>
        <v>12</v>
      </c>
      <c r="B13" s="56">
        <f t="shared" si="3"/>
        <v>3000</v>
      </c>
      <c r="C13" s="56">
        <f t="shared" si="0"/>
        <v>1058.40217754644</v>
      </c>
      <c r="D13" s="39" t="str">
        <f>IMDIV((_XLL.KOMPLEXE(1,2*PI()*(B13)*(esrcout*0.001)*(cout*0.000001))),(_XLL.KOMPLEXE(1,2*PI()*(B13)*rload*(cout*0.000001))))</f>
        <v>3.44459886860774e-005-3.92961631709942e-005i</v>
      </c>
      <c r="E13" s="39" t="str">
        <f>IMDIV(1,(_XLL.KOMPLEXE((1-(B13/(fpp*1000))^2),(B13/(fpp*1000)))))</f>
        <v>0.996491807450037-0.253775502746189i</v>
      </c>
      <c r="F13" s="56" t="str">
        <f>_XLL.IMPRODUKT(D13,E13)</f>
        <v>2.43527419604775e-005-4.78998527605144e-005i</v>
      </c>
      <c r="G13" s="56" t="str">
        <f>_XLL.IMPRODUKT(C13,F13)</f>
        <v>0.025774995120196-0.0506973084658823i</v>
      </c>
      <c r="H13" s="60">
        <f>IMABS(G13)</f>
        <v>0.056873257855787986</v>
      </c>
      <c r="I13" s="39" t="str">
        <f>IMDIV((_XLL.KOMPLEXE(1,(2*PI()*B13*(rf*1000)*(Cz*0.000000001)))),(_XLL.KOMPLEXE(0,2*PI()*B13*((Cz*0.000000001)+(Cp*0.000000000001))*(RII*1000))))</f>
        <v>2.74027402740274-0.947445596297102i</v>
      </c>
      <c r="J13" s="61" t="str">
        <f>IMDIV(1,(_XLL.KOMPLEXE(1,2*PI()*B13*(((Cz*0.000000001)*(Cp*0.000000000001))/((Cz*0.000000001)+(Cp*0.000000000001)))*(rf*1000))))</f>
        <v>0.935336119788262-0.245931825528337i</v>
      </c>
      <c r="K13" s="61" t="str">
        <f>_XLL.IMPRODUKT(I13,J13)</f>
        <v>2.3300702508613-1.56010068175805i</v>
      </c>
      <c r="L13" s="61" t="str">
        <f>_XLL.IMPRODUKT(G13,K13)</f>
        <v>-0.0190353561552572-0.158339877714419i</v>
      </c>
      <c r="M13" s="56">
        <f>20*LOG(IMABS(L13))</f>
        <v>-15.945876952829801</v>
      </c>
      <c r="N13" s="56">
        <f>(180/PI())*IMARGUMENT(L13)+180</f>
        <v>83.14489492391783</v>
      </c>
      <c r="O13" s="56">
        <f t="shared" si="1"/>
        <v>83.14489492391783</v>
      </c>
    </row>
    <row r="14" spans="1:15" ht="12.75">
      <c r="A14" s="59">
        <f t="shared" si="2"/>
        <v>13</v>
      </c>
      <c r="B14" s="56">
        <f t="shared" si="3"/>
        <v>3250</v>
      </c>
      <c r="C14" s="56">
        <f t="shared" si="0"/>
        <v>1058.40217754644</v>
      </c>
      <c r="D14" s="39" t="str">
        <f>IMDIV((_XLL.KOMPLEXE(1,2*PI()*(B14)*(esrcout*0.001)*(cout*0.000001))),(_XLL.KOMPLEXE(1,2*PI()*(B14)*rload*(cout*0.000001))))</f>
        <v>3.44457602479663e-005-3.62733813968965e-005i</v>
      </c>
      <c r="E14" s="39" t="str">
        <f>IMDIV(1,(_XLL.KOMPLEXE((1-(B14/(fpp*1000))^2),(B14/(fpp*1000)))))</f>
        <v>0.99512283085849-0.277490278875169i</v>
      </c>
      <c r="F14" s="56" t="str">
        <f>_XLL.IMPRODUKT(D14,E14)</f>
        <v>2.42122517294589e-005-4.56548335977647e-005i</v>
      </c>
      <c r="G14" s="56" t="str">
        <f>_XLL.IMPRODUKT(C14,F14)</f>
        <v>0.0256262999537619-0.0483211752953945i</v>
      </c>
      <c r="H14" s="60">
        <f>IMABS(G14)</f>
        <v>0.05469591603811405</v>
      </c>
      <c r="I14" s="39" t="str">
        <f>IMDIV((_XLL.KOMPLEXE(1,(2*PI()*B14*(rf*1000)*(Cz*0.000000001)))),(_XLL.KOMPLEXE(0,2*PI()*B14*((Cz*0.000000001)+(Cp*0.000000000001))*(RII*1000))))</f>
        <v>2.74027402740275-0.874565165812713i</v>
      </c>
      <c r="J14" s="61" t="str">
        <f>IMDIV(1,(_XLL.KOMPLEXE(1,2*PI()*B14*(((Cz*0.000000001)*(Cp*0.000000000001))/((Cz*0.000000001)+(Cp*0.000000000001)))*(rf*1000))))</f>
        <v>0.924952265191402-0.263468351626332i</v>
      </c>
      <c r="K14" s="61" t="str">
        <f>_XLL.IMPRODUKT(I14,J14)</f>
        <v>2.30420242626485-1.53090651218022i</v>
      </c>
      <c r="L14" s="61" t="str">
        <f>_XLL.IMPRODUKT(G14,K14)</f>
        <v>-0.0149270194062724-0.150573238837915i</v>
      </c>
      <c r="M14" s="56">
        <f>20*LOG(IMABS(L14))</f>
        <v>-16.402571486594276</v>
      </c>
      <c r="N14" s="56">
        <f>(180/PI())*IMARGUMENT(L14)+180</f>
        <v>84.33850329229887</v>
      </c>
      <c r="O14" s="56">
        <f t="shared" si="1"/>
        <v>84.33850329229887</v>
      </c>
    </row>
    <row r="15" spans="1:15" ht="12.75">
      <c r="A15" s="59">
        <f t="shared" si="2"/>
        <v>14</v>
      </c>
      <c r="B15" s="56">
        <f t="shared" si="3"/>
        <v>3500.0000000000005</v>
      </c>
      <c r="C15" s="56">
        <f t="shared" si="0"/>
        <v>1058.40217754644</v>
      </c>
      <c r="D15" s="39" t="str">
        <f>IMDIV((_XLL.KOMPLEXE(1,2*PI()*(B15)*(esrcout*0.001)*(cout*0.000001))),(_XLL.KOMPLEXE(1,2*PI()*(B15)*rload*(cout*0.000001))))</f>
        <v>3.44455789893181e-005-3.36824255889378e-005i</v>
      </c>
      <c r="E15" s="39" t="str">
        <f>IMDIV(1,(_XLL.KOMPLEXE((1-(B15/(fpp*1000))^2),(B15/(fpp*1000)))))</f>
        <v>0.993374742343426-0.301806562343923i</v>
      </c>
      <c r="F15" s="56" t="str">
        <f>_XLL.IMPRODUKT(D15,E15)</f>
        <v>2.40517910749817e-005-4.38551726236249e-005i</v>
      </c>
      <c r="G15" s="56" t="str">
        <f>_XLL.IMPRODUKT(C15,F15)</f>
        <v>0.0254564680476527-0.0464164102015196i</v>
      </c>
      <c r="H15" s="60">
        <f>IMABS(G15)</f>
        <v>0.05293878447279364</v>
      </c>
      <c r="I15" s="39" t="str">
        <f>IMDIV((_XLL.KOMPLEXE(1,(2*PI()*B15*(rf*1000)*(Cz*0.000000001)))),(_XLL.KOMPLEXE(0,2*PI()*B15*((Cz*0.000000001)+(Cp*0.000000000001))*(RII*1000))))</f>
        <v>2.74027402740274-0.812096225397515i</v>
      </c>
      <c r="J15" s="61" t="str">
        <f>IMDIV(1,(_XLL.KOMPLEXE(1,2*PI()*B15*(((Cz*0.000000001)*(Cp*0.000000000001))/((Cz*0.000000001)+(Cp*0.000000000001)))*(rf*1000))))</f>
        <v>0.913993596409844-0.280373504689091i</v>
      </c>
      <c r="K15" s="61" t="str">
        <f>_XLL.IMPRODUKT(I15,J15)</f>
        <v>2.27690264859483-1.51055098255333i</v>
      </c>
      <c r="L15" s="61" t="str">
        <f>_XLL.IMPRODUKT(G15,K15)</f>
        <v>-0.0121524545149337-0.144138940147823i</v>
      </c>
      <c r="M15" s="56">
        <f>20*LOG(IMABS(L15))</f>
        <v>-16.793611788153846</v>
      </c>
      <c r="N15" s="56">
        <f>(180/PI())*IMARGUMENT(L15)+180</f>
        <v>85.18075020771462</v>
      </c>
      <c r="O15" s="56">
        <f t="shared" si="1"/>
        <v>85.18075020771462</v>
      </c>
    </row>
    <row r="16" spans="1:15" ht="12.75">
      <c r="A16" s="59">
        <f t="shared" si="2"/>
        <v>15</v>
      </c>
      <c r="B16" s="56">
        <f t="shared" si="3"/>
        <v>3750</v>
      </c>
      <c r="C16" s="56">
        <f t="shared" si="0"/>
        <v>1058.40217754644</v>
      </c>
      <c r="D16" s="39" t="str">
        <f>IMDIV((_XLL.KOMPLEXE(1,2*PI()*(B16)*(esrcout*0.001)*(cout*0.000001))),(_XLL.KOMPLEXE(1,2*PI()*(B16)*rload*(cout*0.000001))))</f>
        <v>3.444543275909e-005-3.14369305542725e-005i</v>
      </c>
      <c r="E16" s="39" t="str">
        <f>IMDIV(1,(_XLL.KOMPLEXE((1-(B16/(fpp*1000))^2),(B16/(fpp*1000)))))</f>
        <v>0.991177431652325-0.326761790654613i</v>
      </c>
      <c r="F16" s="56" t="str">
        <f>_XLL.IMPRODUKT(D16,E16)</f>
        <v>2.38691478537089e-005-4.24150273740496e-005i</v>
      </c>
      <c r="G16" s="56" t="str">
        <f>_XLL.IMPRODUKT(C16,F16)</f>
        <v>0.0252631580645434-0.044892157333386i</v>
      </c>
      <c r="H16" s="60">
        <f>IMABS(G16)</f>
        <v>0.05151245427505459</v>
      </c>
      <c r="I16" s="39" t="str">
        <f>IMDIV((_XLL.KOMPLEXE(1,(2*PI()*B16*(rf*1000)*(Cz*0.000000001)))),(_XLL.KOMPLEXE(0,2*PI()*B16*((Cz*0.000000001)+(Cp*0.000000000001))*(RII*1000))))</f>
        <v>2.74027402740274-0.757956477037683i</v>
      </c>
      <c r="J16" s="61" t="str">
        <f>IMDIV(1,(_XLL.KOMPLEXE(1,2*PI()*B16*(((Cz*0.000000001)*(Cp*0.000000000001))/((Cz*0.000000001)+(Cp*0.000000000001)))*(rf*1000))))</f>
        <v>0.902508777578849-0.296625494474061i</v>
      </c>
      <c r="K16" s="61" t="str">
        <f>_XLL.IMPRODUKT(I16,J16)</f>
        <v>2.2482921479112-1.49689751192201i</v>
      </c>
      <c r="L16" s="61" t="str">
        <f>_XLL.IMPRODUKT(G16,K16)</f>
        <v>-0.0103999987092045-0.138747043285553i</v>
      </c>
      <c r="M16" s="56">
        <f>20*LOG(IMABS(L16))</f>
        <v>-17.13119278826626</v>
      </c>
      <c r="N16" s="56">
        <f>(180/PI())*IMARGUMENT(L16)+180</f>
        <v>85.71332265738805</v>
      </c>
      <c r="O16" s="56">
        <f t="shared" si="1"/>
        <v>85.71332265738805</v>
      </c>
    </row>
    <row r="17" spans="1:15" ht="12.75">
      <c r="A17" s="59">
        <f t="shared" si="2"/>
        <v>16</v>
      </c>
      <c r="B17" s="56">
        <f t="shared" si="3"/>
        <v>4000</v>
      </c>
      <c r="C17" s="56">
        <f t="shared" si="0"/>
        <v>1058.40217754644</v>
      </c>
      <c r="D17" s="39" t="str">
        <f>IMDIV((_XLL.KOMPLEXE(1,2*PI()*(B17)*(esrcout*0.001)*(cout*0.000001))),(_XLL.KOMPLEXE(1,2*PI()*(B17)*rload*(cout*0.000001))))</f>
        <v>3.44453130803634e-005-2.94721223981578e-005i</v>
      </c>
      <c r="E17" s="39" t="str">
        <f>IMDIV(1,(_XLL.KOMPLEXE((1-(B17/(fpp*1000))^2),(B17/(fpp*1000)))))</f>
        <v>0.988452896783669-0.352389624521807i</v>
      </c>
      <c r="F17" s="56" t="str">
        <f>_XLL.IMPRODUKT(D17,E17)</f>
        <v>2.3661899349158e-005-4.12699757017473e-005i</v>
      </c>
      <c r="G17" s="56" t="str">
        <f>_XLL.IMPRODUKT(C17,F17)</f>
        <v>0.0250438057960335-0.043680232150018i</v>
      </c>
      <c r="H17" s="60">
        <f>IMABS(G17)</f>
        <v>0.05035032164176221</v>
      </c>
      <c r="I17" s="39" t="str">
        <f>IMDIV((_XLL.KOMPLEXE(1,(2*PI()*B17*(rf*1000)*(Cz*0.000000001)))),(_XLL.KOMPLEXE(0,2*PI()*B17*((Cz*0.000000001)+(Cp*0.000000000001))*(RII*1000))))</f>
        <v>2.74027402740273-0.710584197222825i</v>
      </c>
      <c r="J17" s="61" t="str">
        <f>IMDIV(1,(_XLL.KOMPLEXE(1,2*PI()*B17*(((Cz*0.000000001)*(Cp*0.000000000001))/((Cz*0.000000001)+(Cp*0.000000000001)))*(rf*1000))))</f>
        <v>0.890546841989013-0.312206925311417i</v>
      </c>
      <c r="K17" s="61" t="str">
        <f>_XLL.IMPRODUKT(I17,J17)</f>
        <v>2.2184930738982-1.48834104141023i</v>
      </c>
      <c r="L17" s="61" t="str">
        <f>_XLL.IMPRODUKT(G17,K17)</f>
        <v>-0.00945157250464649-0.134178016490424i</v>
      </c>
      <c r="M17" s="56">
        <f>20*LOG(IMABS(L17))</f>
        <v>-17.424876805923027</v>
      </c>
      <c r="N17" s="56">
        <f>(180/PI())*IMARGUMENT(L17)+180</f>
        <v>85.97070958630604</v>
      </c>
      <c r="O17" s="56">
        <f t="shared" si="1"/>
        <v>85.97070958630604</v>
      </c>
    </row>
    <row r="18" spans="1:15" ht="12.75">
      <c r="A18" s="59">
        <f t="shared" si="2"/>
        <v>17</v>
      </c>
      <c r="B18" s="56">
        <f t="shared" si="3"/>
        <v>4250</v>
      </c>
      <c r="C18" s="56">
        <f t="shared" si="0"/>
        <v>1058.40217754644</v>
      </c>
      <c r="D18" s="39" t="str">
        <f>IMDIV((_XLL.KOMPLEXE(1,2*PI()*(B18)*(esrcout*0.001)*(cout*0.000001))),(_XLL.KOMPLEXE(1,2*PI()*(B18)*rload*(cout*0.000001))))</f>
        <v>3.44452138935633e-005-2.7738468142194e-005i</v>
      </c>
      <c r="E18" s="39" t="str">
        <f>IMDIV(1,(_XLL.KOMPLEXE((1-(B18/(fpp*1000))^2),(B18/(fpp*1000)))))</f>
        <v>0.985114830259947-0.378718953288537i</v>
      </c>
      <c r="F18" s="56" t="str">
        <f>_XLL.IMPRODUKT(D18,E18)</f>
        <v>2.3427407417386e-005-4.03706316871385e-005i</v>
      </c>
      <c r="G18" s="56" t="str">
        <f>_XLL.IMPRODUKT(C18,F18)</f>
        <v>0.024795619024829-0.0427283644865927i</v>
      </c>
      <c r="H18" s="60">
        <f>IMABS(G18)</f>
        <v>0.049401779872020594</v>
      </c>
      <c r="I18" s="39" t="str">
        <f>IMDIV((_XLL.KOMPLEXE(1,(2*PI()*B18*(rf*1000)*(Cz*0.000000001)))),(_XLL.KOMPLEXE(0,2*PI()*B18*((Cz*0.000000001)+(Cp*0.000000000001))*(RII*1000))))</f>
        <v>2.74027402740274-0.668785126797955i</v>
      </c>
      <c r="J18" s="61" t="str">
        <f>IMDIV(1,(_XLL.KOMPLEXE(1,2*PI()*B18*(((Cz*0.000000001)*(Cp*0.000000000001))/((Cz*0.000000001)+(Cp*0.000000000001)))*(rf*1000))))</f>
        <v>0.87815675606734-0.327104674134483i</v>
      </c>
      <c r="K18" s="61" t="str">
        <f>_XLL.IMPRODUKT(I18,J18)</f>
        <v>2.18762740967234-1.48365462022774i</v>
      </c>
      <c r="L18" s="61" t="str">
        <f>_XLL.IMPRODUKT(G18,K18)</f>
        <v>-0.00915055956679928-0.130261876048935i</v>
      </c>
      <c r="M18" s="56">
        <f>20*LOG(IMABS(L18))</f>
        <v>-17.682275007266192</v>
      </c>
      <c r="N18" s="56">
        <f>(180/PI())*IMARGUMENT(L18)+180</f>
        <v>85.98172080856905</v>
      </c>
      <c r="O18" s="56">
        <f t="shared" si="1"/>
        <v>85.98172080856905</v>
      </c>
    </row>
    <row r="19" spans="1:15" ht="12.75">
      <c r="A19" s="59">
        <f t="shared" si="2"/>
        <v>18</v>
      </c>
      <c r="B19" s="56">
        <f t="shared" si="3"/>
        <v>4500</v>
      </c>
      <c r="C19" s="56">
        <f t="shared" si="0"/>
        <v>1058.40217754644</v>
      </c>
      <c r="D19" s="39" t="str">
        <f>IMDIV((_XLL.KOMPLEXE(1,2*PI()*(B19)*(esrcout*0.001)*(cout*0.000001))),(_XLL.KOMPLEXE(1,2*PI()*(B19)*rload*(cout*0.000001))))</f>
        <v>3.44451307740597e-005-2.6197442136472e-005i</v>
      </c>
      <c r="E19" s="39" t="str">
        <f>IMDIV(1,(_XLL.KOMPLEXE((1-(B19/(fpp*1000))^2),(B19/(fpp*1000)))))</f>
        <v>0.981068267923973-0.405772721108261i</v>
      </c>
      <c r="F19" s="56" t="str">
        <f>_XLL.IMPRODUKT(D19,E19)</f>
        <v>2.3162817405129e-005-3.96783736239872e-005i</v>
      </c>
      <c r="G19" s="56" t="str">
        <f>_XLL.IMPRODUKT(C19,F19)</f>
        <v>0.0245155763796991-0.0419956770451293i</v>
      </c>
      <c r="H19" s="60">
        <f>IMABS(G19)</f>
        <v>0.04862767088508005</v>
      </c>
      <c r="I19" s="39" t="str">
        <f>IMDIV((_XLL.KOMPLEXE(1,(2*PI()*B19*(rf*1000)*(Cz*0.000000001)))),(_XLL.KOMPLEXE(0,2*PI()*B19*((Cz*0.000000001)+(Cp*0.000000000001))*(RII*1000))))</f>
        <v>2.74027402740275-0.631630397531403i</v>
      </c>
      <c r="J19" s="61" t="str">
        <f>IMDIV(1,(_XLL.KOMPLEXE(1,2*PI()*B19*(((Cz*0.000000001)*(Cp*0.000000000001))/((Cz*0.000000001)+(Cp*0.000000000001)))*(rf*1000))))</f>
        <v>0.865387016799376-0.341309724377219i</v>
      </c>
      <c r="K19" s="61" t="str">
        <f>_XLL.IMPRODUKT(I19,J19)</f>
        <v>2.15581596889716-1.48188691845039i</v>
      </c>
      <c r="L19" s="61" t="str">
        <f>_XLL.IMPRODUKT(G19,K19)</f>
        <v>-0.0093817733985711-0.126864263133885i</v>
      </c>
      <c r="M19" s="56">
        <f>20*LOG(IMABS(L19))</f>
        <v>-17.90952802721348</v>
      </c>
      <c r="N19" s="56">
        <f>(180/PI())*IMARGUMENT(L19)+180</f>
        <v>85.77060301291135</v>
      </c>
      <c r="O19" s="56">
        <f t="shared" si="1"/>
        <v>85.77060301291135</v>
      </c>
    </row>
    <row r="20" spans="1:15" ht="12.75">
      <c r="A20" s="59">
        <f t="shared" si="2"/>
        <v>19</v>
      </c>
      <c r="B20" s="56">
        <f t="shared" si="3"/>
        <v>4750</v>
      </c>
      <c r="C20" s="56">
        <f t="shared" si="0"/>
        <v>1058.40217754644</v>
      </c>
      <c r="D20" s="39" t="str">
        <f>IMDIV((_XLL.KOMPLEXE(1,2*PI()*(B20)*(esrcout*0.001)*(cout*0.000001))),(_XLL.KOMPLEXE(1,2*PI()*(B20)*rload*(cout*0.000001))))</f>
        <v>3.44450604300271e-005-2.4818629394193e-005i</v>
      </c>
      <c r="E20" s="39" t="str">
        <f>IMDIV(1,(_XLL.KOMPLEXE((1-(B20/(fpp*1000))^2),(B20/(fpp*1000)))))</f>
        <v>0.976209335792462-0.433566558673604i</v>
      </c>
      <c r="F20" s="56" t="str">
        <f>_XLL.IMPRODUKT(D20,E20)</f>
        <v>2.28650618262922e-005-3.91624040301356e-005i</v>
      </c>
      <c r="G20" s="56" t="str">
        <f>_XLL.IMPRODUKT(C20,F20)</f>
        <v>0.0242004312266816-0.041449573703449i</v>
      </c>
      <c r="H20" s="60">
        <f>IMABS(G20)</f>
        <v>0.047997166913839796</v>
      </c>
      <c r="I20" s="39" t="str">
        <f>IMDIV((_XLL.KOMPLEXE(1,(2*PI()*B20*(rf*1000)*(Cz*0.000000001)))),(_XLL.KOMPLEXE(0,2*PI()*B20*((Cz*0.000000001)+(Cp*0.000000000001))*(RII*1000))))</f>
        <v>2.74027402740274-0.598386692398169i</v>
      </c>
      <c r="J20" s="61" t="str">
        <f>IMDIV(1,(_XLL.KOMPLEXE(1,2*PI()*B20*(((Cz*0.000000001)*(Cp*0.000000000001))/((Cz*0.000000001)+(Cp*0.000000000001)))*(rf*1000))))</f>
        <v>0.852285286541669-0.354816962512017i</v>
      </c>
      <c r="K20" s="61" t="str">
        <f>_XLL.IMPRODUKT(I20,J20)</f>
        <v>2.12317748604331-1.48229188044691i</v>
      </c>
      <c r="L20" s="61" t="str">
        <f>_XLL.IMPRODUKT(G20,K20)</f>
        <v>-0.0100585558155784-0.12387690440388i</v>
      </c>
      <c r="M20" s="56">
        <f>20*LOG(IMABS(L20))</f>
        <v>-18.111653567597724</v>
      </c>
      <c r="N20" s="56">
        <f>(180/PI())*IMARGUMENT(L20)+180</f>
        <v>85.35788191832211</v>
      </c>
      <c r="O20" s="56">
        <f t="shared" si="1"/>
        <v>85.35788191832211</v>
      </c>
    </row>
    <row r="21" spans="1:15" ht="12.75">
      <c r="A21" s="59">
        <f t="shared" si="2"/>
        <v>20</v>
      </c>
      <c r="B21" s="56">
        <f t="shared" si="3"/>
        <v>5000</v>
      </c>
      <c r="C21" s="56">
        <f t="shared" si="0"/>
        <v>1058.40217754644</v>
      </c>
      <c r="D21" s="39" t="str">
        <f>IMDIV((_XLL.KOMPLEXE(1,2*PI()*(B21)*(esrcout*0.001)*(cout*0.000001))),(_XLL.KOMPLEXE(1,2*PI()*(B21)*rload*(cout*0.000001))))</f>
        <v>3.44450003714328e-005-2.35776979258995e-005i</v>
      </c>
      <c r="E21" s="39" t="str">
        <f>IMDIV(1,(_XLL.KOMPLEXE((1-(B21/(fpp*1000))^2),(B21/(fpp*1000)))))</f>
        <v>0.970425138632163-0.462107208872458i</v>
      </c>
      <c r="F21" s="56" t="str">
        <f>_XLL.IMPRODUKT(D21,E21)</f>
        <v>2.25308700804572e-005-3.87976737596219e-005i</v>
      </c>
      <c r="G21" s="56" t="str">
        <f>_XLL.IMPRODUKT(C21,F21)</f>
        <v>0.0238467219551718-0.0410635423909202i</v>
      </c>
      <c r="H21" s="60">
        <f>IMABS(G21)</f>
        <v>0.047485583724938815</v>
      </c>
      <c r="I21" s="39" t="str">
        <f>IMDIV((_XLL.KOMPLEXE(1,(2*PI()*B21*(rf*1000)*(Cz*0.000000001)))),(_XLL.KOMPLEXE(0,2*PI()*B21*((Cz*0.000000001)+(Cp*0.000000000001))*(RII*1000))))</f>
        <v>2.74027402740275-0.568467357778262i</v>
      </c>
      <c r="J21" s="61" t="str">
        <f>IMDIV(1,(_XLL.KOMPLEXE(1,2*PI()*B21*(((Cz*0.000000001)*(Cp*0.000000000001))/((Cz*0.000000001)+(Cp*0.000000000001)))*(rf*1000))))</f>
        <v>0.838898067923283-0.367624944145342i</v>
      </c>
      <c r="K21" s="61" t="str">
        <f>_XLL.IMPRODUKT(I21,J21)</f>
        <v>2.08982780651684-1.48427925438451i</v>
      </c>
      <c r="L21" s="61" t="str">
        <f>_XLL.IMPRODUKT(G21,K21)</f>
        <v>-0.0111142214461881-0.121210927405765i</v>
      </c>
      <c r="M21" s="56">
        <f>20*LOG(IMABS(L21))</f>
        <v>-18.292803207969357</v>
      </c>
      <c r="N21" s="56">
        <f>(180/PI())*IMARGUMENT(L21)+180</f>
        <v>84.76101465163052</v>
      </c>
      <c r="O21" s="56">
        <f t="shared" si="1"/>
        <v>84.76101465163052</v>
      </c>
    </row>
    <row r="22" spans="1:15" ht="12.75">
      <c r="A22" s="59">
        <f t="shared" si="2"/>
        <v>21</v>
      </c>
      <c r="B22" s="56">
        <f t="shared" si="3"/>
        <v>5250</v>
      </c>
      <c r="C22" s="56">
        <f t="shared" si="0"/>
        <v>1058.40217754644</v>
      </c>
      <c r="D22" s="39" t="str">
        <f>IMDIV((_XLL.KOMPLEXE(1,2*PI()*(B22)*(esrcout*0.001)*(cout*0.000001))),(_XLL.KOMPLEXE(1,2*PI()*(B22)*rload*(cout*0.000001))))</f>
        <v>3.44449486866109e-005-2.24549504067792e-005i</v>
      </c>
      <c r="E22" s="39" t="str">
        <f>IMDIV(1,(_XLL.KOMPLEXE((1-(B22/(fpp*1000))^2),(B22/(fpp*1000)))))</f>
        <v>0.963593842808501-0.491390740625996i</v>
      </c>
      <c r="F22" s="56" t="str">
        <f>_XLL.IMPRODUKT(D22,E22)</f>
        <v>2.21567857591658e-005-3.85633807984809e-005i</v>
      </c>
      <c r="G22" s="56" t="str">
        <f>_XLL.IMPRODUKT(C22,F22)</f>
        <v>0.023450790294931-0.0408155662106648i</v>
      </c>
      <c r="H22" s="60">
        <f>IMABS(G22)</f>
        <v>0.047072816046567614</v>
      </c>
      <c r="I22" s="39" t="str">
        <f>IMDIV((_XLL.KOMPLEXE(1,(2*PI()*B22*(rf*1000)*(Cz*0.000000001)))),(_XLL.KOMPLEXE(0,2*PI()*B22*((Cz*0.000000001)+(Cp*0.000000000001))*(RII*1000))))</f>
        <v>2.74027402740274-0.541397483598343i</v>
      </c>
      <c r="J22" s="61" t="str">
        <f>IMDIV(1,(_XLL.KOMPLEXE(1,2*PI()*B22*(((Cz*0.000000001)*(Cp*0.000000000001))/((Cz*0.000000001)+(Cp*0.000000000001)))*(rf*1000))))</f>
        <v>0.825270420354779-0.379735636518651i</v>
      </c>
      <c r="K22" s="61" t="str">
        <f>_XLL.IMPRODUKT(I22,J22)</f>
        <v>2.05587918043813-1.48737903089953i</v>
      </c>
      <c r="L22" s="61" t="str">
        <f>_XLL.IMPRODUKT(G22,K22)</f>
        <v>-0.012496225783865-0.118792086553002i</v>
      </c>
      <c r="M22" s="56">
        <f>20*LOG(IMABS(L22))</f>
        <v>-18.456455595448986</v>
      </c>
      <c r="N22" s="56">
        <f>(180/PI())*IMARGUMENT(L22)+180</f>
        <v>83.99490783979195</v>
      </c>
      <c r="O22" s="56">
        <f t="shared" si="1"/>
        <v>83.99490783979195</v>
      </c>
    </row>
    <row r="23" spans="1:15" ht="12.75">
      <c r="A23" s="59">
        <f t="shared" si="2"/>
        <v>22</v>
      </c>
      <c r="B23" s="56">
        <f t="shared" si="3"/>
        <v>5500</v>
      </c>
      <c r="C23" s="56">
        <f t="shared" si="0"/>
        <v>1058.40217754644</v>
      </c>
      <c r="D23" s="39" t="str">
        <f>IMDIV((_XLL.KOMPLEXE(1,2*PI()*(B23)*(esrcout*0.001)*(cout*0.000001))),(_XLL.KOMPLEXE(1,2*PI()*(B23)*rload*(cout*0.000001))))</f>
        <v>3.44449038882366e-005-2.14342708437949e-005i</v>
      </c>
      <c r="E23" s="39" t="str">
        <f>IMDIV(1,(_XLL.KOMPLEXE((1-(B23/(fpp*1000))^2),(B23/(fpp*1000)))))</f>
        <v>0.95558501521352-0.521400553935949i</v>
      </c>
      <c r="F23" s="56" t="str">
        <f>_XLL.IMPRODUKT(D23,E23)</f>
        <v>2.1739193314901e-005-3.84418599979555e-005i</v>
      </c>
      <c r="G23" s="56" t="str">
        <f>_XLL.IMPRODUKT(C23,F23)</f>
        <v>0.0230088095425942-0.0406869483307715i</v>
      </c>
      <c r="H23" s="60">
        <f>IMABS(G23)</f>
        <v>0.04674219807666563</v>
      </c>
      <c r="I23" s="39" t="str">
        <f>IMDIV((_XLL.KOMPLEXE(1,(2*PI()*B23*(rf*1000)*(Cz*0.000000001)))),(_XLL.KOMPLEXE(0,2*PI()*B23*((Cz*0.000000001)+(Cp*0.000000000001))*(RII*1000))))</f>
        <v>2.74027402740274-0.516788507071147i</v>
      </c>
      <c r="J23" s="61" t="str">
        <f>IMDIV(1,(_XLL.KOMPLEXE(1,2*PI()*B23*(((Cz*0.000000001)*(Cp*0.000000000001))/((Cz*0.000000001)+(Cp*0.000000000001)))*(rf*1000))))</f>
        <v>0.811445718585005-0.391154144008561i</v>
      </c>
      <c r="K23" s="61" t="str">
        <f>_XLL.IMPRODUKT(I23,J23)</f>
        <v>2.02143966116877-1.49121536301443i</v>
      </c>
      <c r="L23" s="61" t="str">
        <f>_XLL.IMPRODUKT(G23,K23)</f>
        <v>-0.0141620822593424-0.116557301322335i</v>
      </c>
      <c r="M23" s="56">
        <f>20*LOG(IMABS(L23))</f>
        <v>-18.605563998771768</v>
      </c>
      <c r="N23" s="56">
        <f>(180/PI())*IMARGUMENT(L23)+180</f>
        <v>83.0723387254373</v>
      </c>
      <c r="O23" s="56">
        <f t="shared" si="1"/>
        <v>83.0723387254373</v>
      </c>
    </row>
    <row r="24" spans="1:15" ht="12.75">
      <c r="A24" s="59">
        <f t="shared" si="2"/>
        <v>23</v>
      </c>
      <c r="B24" s="56">
        <f t="shared" si="3"/>
        <v>5750</v>
      </c>
      <c r="C24" s="56">
        <f t="shared" si="0"/>
        <v>1058.40217754644</v>
      </c>
      <c r="D24" s="39" t="str">
        <f>IMDIV((_XLL.KOMPLEXE(1,2*PI()*(B24)*(esrcout*0.001)*(cout*0.000001))),(_XLL.KOMPLEXE(1,2*PI()*(B24)*rload*(cout*0.000001))))</f>
        <v>3.44448648051162e-005-2.05023460253008e-005i</v>
      </c>
      <c r="E24" s="39" t="str">
        <f>IMDIV(1,(_XLL.KOMPLEXE((1-(B24/(fpp*1000))^2),(B24/(fpp*1000)))))</f>
        <v>0.946260289080358-0.552105191497926i</v>
      </c>
      <c r="F24" s="56" t="str">
        <f>_XLL.IMPRODUKT(D24,E24)</f>
        <v>2.12743560493677e-005-3.84177445560755e-005i</v>
      </c>
      <c r="G24" s="56" t="str">
        <f>_XLL.IMPRODUKT(C24,F24)</f>
        <v>0.0225168247685491-0.0406614244945732i</v>
      </c>
      <c r="H24" s="60">
        <f>IMABS(G24)</f>
        <v>0.04647966049343976</v>
      </c>
      <c r="I24" s="39" t="str">
        <f>IMDIV((_XLL.KOMPLEXE(1,(2*PI()*B24*(rf*1000)*(Cz*0.000000001)))),(_XLL.KOMPLEXE(0,2*PI()*B24*((Cz*0.000000001)+(Cp*0.000000000001))*(RII*1000))))</f>
        <v>2.74027402740274-0.494319441546313i</v>
      </c>
      <c r="J24" s="61" t="str">
        <f>IMDIV(1,(_XLL.KOMPLEXE(1,2*PI()*B24*(((Cz*0.000000001)*(Cp*0.000000000001))/((Cz*0.000000001)+(Cp*0.000000000001)))*(rf*1000))))</f>
        <v>0.797465452793244-0.401888422817217i</v>
      </c>
      <c r="K24" s="61" t="str">
        <f>_XLL.IMPRODUKT(I24,J24)</f>
        <v>1.98661260730936-1.4954870842371i</v>
      </c>
      <c r="L24" s="61" t="str">
        <f>_XLL.IMPRODUKT(G24,K24)</f>
        <v>-0.016076427196541-0.114452119151472i</v>
      </c>
      <c r="M24" s="56">
        <f>20*LOG(IMABS(L24))</f>
        <v>-18.74267043654927</v>
      </c>
      <c r="N24" s="56">
        <f>(180/PI())*IMARGUMENT(L24)+180</f>
        <v>82.00430493943934</v>
      </c>
      <c r="O24" s="56">
        <f t="shared" si="1"/>
        <v>82.00430493943934</v>
      </c>
    </row>
    <row r="25" spans="1:18" ht="12.75">
      <c r="A25" s="59">
        <f t="shared" si="2"/>
        <v>24</v>
      </c>
      <c r="B25" s="56">
        <f t="shared" si="3"/>
        <v>6000</v>
      </c>
      <c r="C25" s="56">
        <f t="shared" si="0"/>
        <v>1058.40217754644</v>
      </c>
      <c r="D25" s="39" t="str">
        <f>IMDIV((_XLL.KOMPLEXE(1,2*PI()*(B25)*(esrcout*0.001)*(cout*0.000001))),(_XLL.KOMPLEXE(1,2*PI()*(B25)*rload*(cout*0.000001))))</f>
        <v>3.44448305048531e-005-1.96480816082539e-005i</v>
      </c>
      <c r="E25" s="39" t="str">
        <f>IMDIV(1,(_XLL.KOMPLEXE((1-(B25/(fpp*1000))^2),(B25/(fpp*1000)))))</f>
        <v>0.935474435292397-0.583455988747857i</v>
      </c>
      <c r="F25" s="56" t="str">
        <f>_XLL.IMPRODUKT(D25,E25)</f>
        <v>2.07584674835274e-005-3.84773206865217e-005i</v>
      </c>
      <c r="G25" s="56" t="str">
        <f>_XLL.IMPRODUKT(C25,F25)</f>
        <v>0.0219708071870924-0.0407244800007673i</v>
      </c>
      <c r="H25" s="60">
        <f>IMABS(G25)</f>
        <v>0.04627309844591442</v>
      </c>
      <c r="I25" s="39" t="str">
        <f>IMDIV((_XLL.KOMPLEXE(1,(2*PI()*B25*(rf*1000)*(Cz*0.000000001)))),(_XLL.KOMPLEXE(0,2*PI()*B25*((Cz*0.000000001)+(Cp*0.000000000001))*(RII*1000))))</f>
        <v>2.74027402740274-0.473722798148551i</v>
      </c>
      <c r="J25" s="61" t="str">
        <f>IMDIV(1,(_XLL.KOMPLEXE(1,2*PI()*B25*(((Cz*0.000000001)*(Cp*0.000000000001))/((Cz*0.000000001)+(Cp*0.000000000001)))*(rf*1000))))</f>
        <v>0.78336906889118-0.411948990526431i</v>
      </c>
      <c r="K25" s="61" t="str">
        <f>_XLL.IMPRODUKT(I25,J25)</f>
        <v>1.95149628486652-1.49995290665251i</v>
      </c>
      <c r="L25" s="61" t="str">
        <f>_XLL.IMPRODUKT(G25,K25)</f>
        <v>-0.0182088535479335-0.112428847526399i</v>
      </c>
      <c r="M25" s="56">
        <f>20*LOG(IMABS(L25))</f>
        <v>-18.869994846170712</v>
      </c>
      <c r="N25" s="56">
        <f>(180/PI())*IMARGUMENT(L25)+180</f>
        <v>80.8003209495529</v>
      </c>
      <c r="O25" s="56">
        <f t="shared" si="1"/>
        <v>80.8003209495529</v>
      </c>
      <c r="P25" s="56">
        <v>-9.103</v>
      </c>
      <c r="Q25" s="56">
        <v>72.905</v>
      </c>
      <c r="R25" s="56">
        <f>B25</f>
        <v>6000</v>
      </c>
    </row>
    <row r="26" spans="1:15" ht="12.75">
      <c r="A26" s="59">
        <f t="shared" si="2"/>
        <v>25</v>
      </c>
      <c r="B26" s="56">
        <f t="shared" si="3"/>
        <v>6250</v>
      </c>
      <c r="C26" s="56">
        <f t="shared" si="0"/>
        <v>1058.40217754644</v>
      </c>
      <c r="D26" s="39" t="str">
        <f>IMDIV((_XLL.KOMPLEXE(1,2*PI()*(B26)*(esrcout*0.001)*(cout*0.000001))),(_XLL.KOMPLEXE(1,2*PI()*(B26)*rload*(cout*0.000001))))</f>
        <v>3.44448002377171e-005-1.88621583444946e-005i</v>
      </c>
      <c r="E26" s="39" t="str">
        <f>IMDIV(1,(_XLL.KOMPLEXE((1-(B26/(fpp*1000))^2),(B26/(fpp*1000)))))</f>
        <v>0.923076923076923-0.615384615384615i</v>
      </c>
      <c r="F26" s="56" t="str">
        <f>_XLL.IMPRODUKT(D26,E26)</f>
        <v>2.01877181612806e-005-3.86080232335132e-005i</v>
      </c>
      <c r="G26" s="56" t="str">
        <f>_XLL.IMPRODUKT(C26,F26)</f>
        <v>0.0213667248615932-0.0408628158611139i</v>
      </c>
      <c r="H26" s="60">
        <f>IMABS(G26)</f>
        <v>0.046111892732898396</v>
      </c>
      <c r="I26" s="39" t="str">
        <f>IMDIV((_XLL.KOMPLEXE(1,(2*PI()*B26*(rf*1000)*(Cz*0.000000001)))),(_XLL.KOMPLEXE(0,2*PI()*B26*((Cz*0.000000001)+(Cp*0.000000000001))*(RII*1000))))</f>
        <v>2.74027402740274-0.45477388622261i</v>
      </c>
      <c r="J26" s="61" t="str">
        <f>IMDIV(1,(_XLL.KOMPLEXE(1,2*PI()*B26*(((Cz*0.000000001)*(Cp*0.000000000001))/((Cz*0.000000001)+(Cp*0.000000000001)))*(rf*1000))))</f>
        <v>0.769193847042037-0.421348635591369i</v>
      </c>
      <c r="K26" s="61" t="str">
        <f>_XLL.IMPRODUKT(I26,J26)</f>
        <v>1.91618356462481-1.50441999767044i</v>
      </c>
      <c r="L26" s="61" t="str">
        <f>_XLL.IMPRODUKT(G26,K26)</f>
        <v>-0.0205322703329394-0.110445184323859i</v>
      </c>
      <c r="M26" s="56">
        <f>20*LOG(IMABS(L26))</f>
        <v>-18.989505264239014</v>
      </c>
      <c r="N26" s="56">
        <f>(180/PI())*IMARGUMENT(L26)+180</f>
        <v>79.4686741229522</v>
      </c>
      <c r="O26" s="56">
        <f t="shared" si="1"/>
        <v>79.4686741229522</v>
      </c>
    </row>
    <row r="27" spans="1:15" ht="12.75">
      <c r="A27" s="59">
        <f t="shared" si="2"/>
        <v>26</v>
      </c>
      <c r="B27" s="56">
        <f t="shared" si="3"/>
        <v>6500</v>
      </c>
      <c r="C27" s="56">
        <f t="shared" si="0"/>
        <v>1058.40217754644</v>
      </c>
      <c r="D27" s="39" t="str">
        <f>IMDIV((_XLL.KOMPLEXE(1,2*PI()*(B27)*(esrcout*0.001)*(cout*0.000001))),(_XLL.KOMPLEXE(1,2*PI()*(B27)*rload*(cout*0.000001))))</f>
        <v>3.44447733953252e-005-1.81366907163471e-005i</v>
      </c>
      <c r="E27" s="39" t="str">
        <f>IMDIV(1,(_XLL.KOMPLEXE((1-(B27/(fpp*1000))^2),(B27/(fpp*1000)))))</f>
        <v>0.908914055000463-0.647800587445505i</v>
      </c>
      <c r="F27" s="56" t="str">
        <f>_XLL.IMPRODUKT(D27,E27)</f>
        <v>1.955837975995e-005-3.87980375432033e-005i</v>
      </c>
      <c r="G27" s="56" t="str">
        <f>_XLL.IMPRODUKT(C27,F27)</f>
        <v>0.0207006317272113-0.0410639274202549i</v>
      </c>
      <c r="H27" s="60">
        <f>IMABS(G27)</f>
        <v>0.04598654465255669</v>
      </c>
      <c r="I27" s="39" t="str">
        <f>IMDIV((_XLL.KOMPLEXE(1,(2*PI()*B27*(rf*1000)*(Cz*0.000000001)))),(_XLL.KOMPLEXE(0,2*PI()*B27*((Cz*0.000000001)+(Cp*0.000000000001))*(RII*1000))))</f>
        <v>2.74027402740274-0.437282582906354i</v>
      </c>
      <c r="J27" s="61" t="str">
        <f>IMDIV(1,(_XLL.KOMPLEXE(1,2*PI()*B27*(((Cz*0.000000001)*(Cp*0.000000000001))/((Cz*0.000000001)+(Cp*0.000000000001)))*(rf*1000))))</f>
        <v>0.754974815882778-0.43010213120321i</v>
      </c>
      <c r="K27" s="61" t="str">
        <f>_XLL.IMPRODUKT(I27,J27)</f>
        <v>1.88076170846068-1.50873503678519i</v>
      </c>
      <c r="L27" s="61" t="str">
        <f>_XLL.IMPRODUKT(G27,K27)</f>
        <v>-0.0230216305534574-0.108463230661455i</v>
      </c>
      <c r="M27" s="56">
        <f>20*LOG(IMABS(L27))</f>
        <v>-19.102973283029105</v>
      </c>
      <c r="N27" s="56">
        <f>(180/PI())*IMARGUMENT(L27)+180</f>
        <v>78.01664984326455</v>
      </c>
      <c r="O27" s="56">
        <f t="shared" si="1"/>
        <v>78.01664984326455</v>
      </c>
    </row>
    <row r="28" spans="1:15" ht="12.75">
      <c r="A28" s="59">
        <f t="shared" si="2"/>
        <v>27</v>
      </c>
      <c r="B28" s="56">
        <f t="shared" si="3"/>
        <v>6750</v>
      </c>
      <c r="C28" s="56">
        <f t="shared" si="0"/>
        <v>1058.40217754644</v>
      </c>
      <c r="D28" s="39" t="str">
        <f>IMDIV((_XLL.KOMPLEXE(1,2*PI()*(B28)*(esrcout*0.001)*(cout*0.000001))),(_XLL.KOMPLEXE(1,2*PI()*(B28)*rload*(cout*0.000001))))</f>
        <v>3.4444749479829e-005-1.74649614309742e-005i</v>
      </c>
      <c r="E28" s="39" t="str">
        <f>IMDIV(1,(_XLL.KOMPLEXE((1-(B28/(fpp*1000))^2),(B28/(fpp*1000)))))</f>
        <v>0.89283175581238-0.680588859597241i</v>
      </c>
      <c r="F28" s="56" t="str">
        <f>_XLL.IMPRODUKT(D28,E28)</f>
        <v>1.88669079733768e-005-3.90359849472017e-005i</v>
      </c>
      <c r="G28" s="56" t="str">
        <f>_XLL.IMPRODUKT(C28,F28)</f>
        <v>0.0199687764825903-0.0413157714707883i</v>
      </c>
      <c r="H28" s="60">
        <f>IMABS(G28)</f>
        <v>0.04588839729646326</v>
      </c>
      <c r="I28" s="39" t="str">
        <f>IMDIV((_XLL.KOMPLEXE(1,(2*PI()*B28*(rf*1000)*(Cz*0.000000001)))),(_XLL.KOMPLEXE(0,2*PI()*B28*((Cz*0.000000001)+(Cp*0.000000000001))*(RII*1000))))</f>
        <v>2.74027402740274-0.421086931687601i</v>
      </c>
      <c r="J28" s="61" t="str">
        <f>IMDIV(1,(_XLL.KOMPLEXE(1,2*PI()*B28*(((Cz*0.000000001)*(Cp*0.000000000001))/((Cz*0.000000001)+(Cp*0.000000000001)))*(rf*1000))))</f>
        <v>0.740744699553237-0.438225957283479i</v>
      </c>
      <c r="K28" s="61" t="str">
        <f>_XLL.IMPRODUKT(I28,J28)</f>
        <v>1.84531223738362-1.51277712157635i</v>
      </c>
      <c r="L28" s="61" t="str">
        <f>_XLL.IMPRODUKT(G28,K28)</f>
        <v>-0.0256529262323833-0.106448806900725i</v>
      </c>
      <c r="M28" s="56">
        <f>20*LOG(IMABS(L28))</f>
        <v>-19.21201785432094</v>
      </c>
      <c r="N28" s="56">
        <f>(180/PI())*IMARGUMENT(L28)+180</f>
        <v>76.45073261721146</v>
      </c>
      <c r="O28" s="56">
        <f t="shared" si="1"/>
        <v>76.45073261721146</v>
      </c>
    </row>
    <row r="29" spans="1:15" ht="12.75">
      <c r="A29" s="59">
        <f t="shared" si="2"/>
        <v>28</v>
      </c>
      <c r="B29" s="56">
        <f t="shared" si="3"/>
        <v>7000.000000000001</v>
      </c>
      <c r="C29" s="56">
        <f t="shared" si="0"/>
        <v>1058.40217754644</v>
      </c>
      <c r="D29" s="39" t="str">
        <f>IMDIV((_XLL.KOMPLEXE(1,2*PI()*(B29)*(esrcout*0.001)*(cout*0.000001))),(_XLL.KOMPLEXE(1,2*PI()*(B29)*rload*(cout*0.000001))))</f>
        <v>3.44447280806632e-005-1.68412128087998e-005i</v>
      </c>
      <c r="E29" s="39" t="str">
        <f>IMDIV(1,(_XLL.KOMPLEXE((1-(B29/(fpp*1000))^2),(B29/(fpp*1000)))))</f>
        <v>0.874679080449271-0.713607641392179i</v>
      </c>
      <c r="F29" s="56" t="str">
        <f>_XLL.IMPRODUKT(D29,E29)</f>
        <v>1.81100649332483e-005-3.93106776972885e-005i</v>
      </c>
      <c r="G29" s="56" t="str">
        <f>_XLL.IMPRODUKT(C29,F29)</f>
        <v>0.0191677321608574-0.0416065068756364i</v>
      </c>
      <c r="H29" s="60">
        <f>IMABS(G29)</f>
        <v>0.045809424473384805</v>
      </c>
      <c r="I29" s="39" t="str">
        <f>IMDIV((_XLL.KOMPLEXE(1,(2*PI()*B29*(rf*1000)*(Cz*0.000000001)))),(_XLL.KOMPLEXE(0,2*PI()*B29*((Cz*0.000000001)+(Cp*0.000000000001))*(RII*1000))))</f>
        <v>2.74027402740274-0.406048112698757i</v>
      </c>
      <c r="J29" s="61" t="str">
        <f>IMDIV(1,(_XLL.KOMPLEXE(1,2*PI()*B29*(((Cz*0.000000001)*(Cp*0.000000000001))/((Cz*0.000000001)+(Cp*0.000000000001)))*(rf*1000))))</f>
        <v>0.726533894383116-0.445738033709958i</v>
      </c>
      <c r="K29" s="61" t="str">
        <f>_XLL.IMPRODUKT(I29,J29)</f>
        <v>1.80991087345984-1.51645207342691i</v>
      </c>
      <c r="L29" s="61" t="str">
        <f>_XLL.IMPRODUKT(G29,K29)</f>
        <v>-0.0284023867621081-0.10437101637912i</v>
      </c>
      <c r="M29" s="56">
        <f>20*LOG(IMABS(L29))</f>
        <v>-19.318139662511747</v>
      </c>
      <c r="N29" s="56">
        <f>(180/PI())*IMARGUMENT(L29)+180</f>
        <v>74.77678822044675</v>
      </c>
      <c r="O29" s="56">
        <f t="shared" si="1"/>
        <v>74.77678822044675</v>
      </c>
    </row>
    <row r="30" spans="1:15" ht="12.75">
      <c r="A30" s="59">
        <f t="shared" si="2"/>
        <v>29</v>
      </c>
      <c r="B30" s="56">
        <f t="shared" si="3"/>
        <v>7249.999999999999</v>
      </c>
      <c r="C30" s="56">
        <f t="shared" si="0"/>
        <v>1058.40217754644</v>
      </c>
      <c r="D30" s="39" t="str">
        <f>IMDIV((_XLL.KOMPLEXE(1,2*PI()*(B30)*(esrcout*0.001)*(cout*0.000001))),(_XLL.KOMPLEXE(1,2*PI()*(B30)*rload*(cout*0.000001))))</f>
        <v>3.44447088568053e-005-1.62604813329469e-005i</v>
      </c>
      <c r="E30" s="39" t="str">
        <f>IMDIV(1,(_XLL.KOMPLEXE((1-(B30/(fpp*1000))^2),(B30/(fpp*1000)))))</f>
        <v>0.854312480830752-0.746686616759849i</v>
      </c>
      <c r="F30" s="56" t="str">
        <f>_XLL.IMPRODUKT(D30,E30)</f>
        <v>1.72850608815655e-005-3.9610935268618e-005i</v>
      </c>
      <c r="G30" s="56" t="str">
        <f>_XLL.IMPRODUKT(C30,F30)</f>
        <v>0.0182945460760717-0.0419243001429564i</v>
      </c>
      <c r="H30" s="60">
        <f>IMABS(G30)</f>
        <v>0.045742074270918295</v>
      </c>
      <c r="I30" s="39" t="str">
        <f>IMDIV((_XLL.KOMPLEXE(1,(2*PI()*B30*(rf*1000)*(Cz*0.000000001)))),(_XLL.KOMPLEXE(0,2*PI()*B30*((Cz*0.000000001)+(Cp*0.000000000001))*(RII*1000))))</f>
        <v>2.74027402740274-0.39204645364018i</v>
      </c>
      <c r="J30" s="61" t="str">
        <f>IMDIV(1,(_XLL.KOMPLEXE(1,2*PI()*B30*(((Cz*0.000000001)*(Cp*0.000000000001))/((Cz*0.000000001)+(Cp*0.000000000001)))*(rf*1000))))</f>
        <v>0.71237047195061-0.452657467234857i</v>
      </c>
      <c r="K30" s="61" t="str">
        <f>_XLL.IMPRODUKT(I30,J30)</f>
        <v>1.77462754743172-1.5196878179798i</v>
      </c>
      <c r="L30" s="61" t="str">
        <f>_XLL.IMPRODUKT(G30,K30)</f>
        <v>-0.0312458427702239-0.102202016747762i</v>
      </c>
      <c r="M30" s="56">
        <f>20*LOG(IMABS(L30))</f>
        <v>-19.42274767699479</v>
      </c>
      <c r="N30" s="56">
        <f>(180/PI())*IMARGUMENT(L30)+180</f>
        <v>73.0002304326507</v>
      </c>
      <c r="O30" s="56">
        <f t="shared" si="1"/>
        <v>73.0002304326507</v>
      </c>
    </row>
    <row r="31" spans="1:15" ht="12.75">
      <c r="A31" s="59">
        <f t="shared" si="2"/>
        <v>30</v>
      </c>
      <c r="B31" s="56">
        <f t="shared" si="3"/>
        <v>7500</v>
      </c>
      <c r="C31" s="56">
        <f t="shared" si="0"/>
        <v>1058.40217754644</v>
      </c>
      <c r="D31" s="39" t="str">
        <f>IMDIV((_XLL.KOMPLEXE(1,2*PI()*(B31)*(esrcout*0.001)*(cout*0.000001))),(_XLL.KOMPLEXE(1,2*PI()*(B31)*rload*(cout*0.000001))))</f>
        <v>3.4444691523106e-005-1.57184652887878e-005i</v>
      </c>
      <c r="E31" s="39" t="str">
        <f>IMDIV(1,(_XLL.KOMPLEXE((1-(B31/(fpp*1000))^2),(B31/(fpp*1000)))))</f>
        <v>0.831600831600832-0.77962577962578i</v>
      </c>
      <c r="F31" s="56" t="str">
        <f>_XLL.IMPRODUKT(D31,E31)</f>
        <v>1.63897133595571e-005-3.99254582883158e-005i</v>
      </c>
      <c r="G31" s="56" t="str">
        <f>_XLL.IMPRODUKT(C31,F31)</f>
        <v>0.0173469083091172-0.042257191991893i</v>
      </c>
      <c r="H31" s="60">
        <f>IMABS(G31)</f>
        <v>0.04567915829921372</v>
      </c>
      <c r="I31" s="39" t="str">
        <f>IMDIV((_XLL.KOMPLEXE(1,(2*PI()*B31*(rf*1000)*(Cz*0.000000001)))),(_XLL.KOMPLEXE(0,2*PI()*B31*((Cz*0.000000001)+(Cp*0.000000000001))*(RII*1000))))</f>
        <v>2.74027402740275-0.378978238518841i</v>
      </c>
      <c r="J31" s="61" t="str">
        <f>IMDIV(1,(_XLL.KOMPLEXE(1,2*PI()*B31*(((Cz*0.000000001)*(Cp*0.000000000001))/((Cz*0.000000001)+(Cp*0.000000000001)))*(rf*1000))))</f>
        <v>0.698280205189575-0.459004313955741i</v>
      </c>
      <c r="K31" s="61" t="str">
        <f>_XLL.IMPRODUKT(I31,J31)</f>
        <v>1.73952646375496-1.52243060215406i</v>
      </c>
      <c r="L31" s="61" t="str">
        <f>_XLL.IMPRODUKT(G31,K31)</f>
        <v>-0.0341582361815172-0.0999169678164326i</v>
      </c>
      <c r="M31" s="56">
        <f>20*LOG(IMABS(L31))</f>
        <v>-19.52717905210978</v>
      </c>
      <c r="N31" s="56">
        <f>(180/PI())*IMARGUMENT(L31)+180</f>
        <v>71.12617465270016</v>
      </c>
      <c r="O31" s="56">
        <f t="shared" si="1"/>
        <v>71.12617465270016</v>
      </c>
    </row>
    <row r="32" spans="1:15" ht="12.75">
      <c r="A32" s="59">
        <f t="shared" si="2"/>
        <v>31</v>
      </c>
      <c r="B32" s="56">
        <f t="shared" si="3"/>
        <v>7750</v>
      </c>
      <c r="C32" s="56">
        <f t="shared" si="0"/>
        <v>1058.40217754644</v>
      </c>
      <c r="D32" s="39" t="str">
        <f>IMDIV((_XLL.KOMPLEXE(1,2*PI()*(B32)*(esrcout*0.001)*(cout*0.000001))),(_XLL.KOMPLEXE(1,2*PI()*(B32)*rload*(cout*0.000001))))</f>
        <v>3.4444675839653e-005-1.52114180216461e-005i</v>
      </c>
      <c r="E32" s="39" t="str">
        <f>IMDIV(1,(_XLL.KOMPLEXE((1-(B32/(fpp*1000))^2),(B32/(fpp*1000)))))</f>
        <v>0.806431160122749-0.812195125529735i</v>
      </c>
      <c r="F32" s="56" t="str">
        <f>_XLL.IMPRODUKT(D32,E32)</f>
        <v>1.54226203278473e-005-4.02427592997262e-005i</v>
      </c>
      <c r="G32" s="56" t="str">
        <f>_XLL.IMPRODUKT(C32,F32)</f>
        <v>0.0163233349384656-0.0425930240733075i</v>
      </c>
      <c r="H32" s="60">
        <f>IMABS(G32)</f>
        <v>0.0456137804092435</v>
      </c>
      <c r="I32" s="39" t="str">
        <f>IMDIV((_XLL.KOMPLEXE(1,(2*PI()*B32*(rf*1000)*(Cz*0.000000001)))),(_XLL.KOMPLEXE(0,2*PI()*B32*((Cz*0.000000001)+(Cp*0.000000000001))*(RII*1000))))</f>
        <v>2.74027402740274-0.366753134050491i</v>
      </c>
      <c r="J32" s="61" t="str">
        <f>IMDIV(1,(_XLL.KOMPLEXE(1,2*PI()*B32*(((Cz*0.000000001)*(Cp*0.000000000001))/((Cz*0.000000001)+(Cp*0.000000000001)))*(rf*1000))))</f>
        <v>0.684286614269809-0.464799358649483i</v>
      </c>
      <c r="K32" s="61" t="str">
        <f>_XLL.IMPRODUKT(I32,J32)</f>
        <v>1.70466621489356-1.52464187083288i</v>
      </c>
      <c r="L32" s="61" t="str">
        <f>_XLL.IMPRODUKT(G32,K32)</f>
        <v>-0.0371132703235635-0.0974941290467293i</v>
      </c>
      <c r="M32" s="56">
        <f>20*LOG(IMABS(L32))</f>
        <v>-19.632713228659757</v>
      </c>
      <c r="N32" s="56">
        <f>(180/PI())*IMARGUMENT(L32)+180</f>
        <v>69.15957957949192</v>
      </c>
      <c r="O32" s="56">
        <f t="shared" si="1"/>
        <v>69.15957957949192</v>
      </c>
    </row>
    <row r="33" spans="1:15" ht="12.75">
      <c r="A33" s="59">
        <f t="shared" si="2"/>
        <v>32</v>
      </c>
      <c r="B33" s="56">
        <f t="shared" si="3"/>
        <v>8000</v>
      </c>
      <c r="C33" s="56">
        <f t="shared" si="0"/>
        <v>1058.40217754644</v>
      </c>
      <c r="D33" s="39" t="str">
        <f>IMDIV((_XLL.KOMPLEXE(1,2*PI()*(B33)*(esrcout*0.001)*(cout*0.000001))),(_XLL.KOMPLEXE(1,2*PI()*(B33)*rload*(cout*0.000001))))</f>
        <v>3.44446616034244e-005-1.47360612086795e-005i</v>
      </c>
      <c r="E33" s="39" t="str">
        <f>IMDIV(1,(_XLL.KOMPLEXE((1-(B33/(fpp*1000))^2),(B33/(fpp*1000)))))</f>
        <v>0.778714955716654-0.844135453351387i</v>
      </c>
      <c r="F33" s="56" t="str">
        <f>_XLL.IMPRODUKT(D33,E33)</f>
        <v>1.43833414261833e-005-4.05511512896965e-005i</v>
      </c>
      <c r="G33" s="56" t="str">
        <f>_XLL.IMPRODUKT(C33,F33)</f>
        <v>0.0152233598858663-0.0429194268270299i</v>
      </c>
      <c r="H33" s="60">
        <f>IMABS(G33)</f>
        <v>0.04553930044890213</v>
      </c>
      <c r="I33" s="39" t="str">
        <f>IMDIV((_XLL.KOMPLEXE(1,(2*PI()*B33*(rf*1000)*(Cz*0.000000001)))),(_XLL.KOMPLEXE(0,2*PI()*B33*((Cz*0.000000001)+(Cp*0.000000000001))*(RII*1000))))</f>
        <v>2.74027402740274-0.355292098611414i</v>
      </c>
      <c r="J33" s="61" t="str">
        <f>IMDIV(1,(_XLL.KOMPLEXE(1,2*PI()*B33*(((Cz*0.000000001)*(Cp*0.000000000001))/((Cz*0.000000001)+(Cp*0.000000000001)))*(rf*1000))))</f>
        <v>0.670411029090846-0.470063911786683i</v>
      </c>
      <c r="K33" s="61" t="str">
        <f>_XLL.IMPRODUKT(I33,J33)</f>
        <v>1.67009993700181-1.5262956701463i</v>
      </c>
      <c r="L33" s="61" t="str">
        <f>_XLL.IMPRODUKT(G33,K33)</f>
        <v>-0.0400832029449155-0.0949150803188531i</v>
      </c>
      <c r="M33" s="56">
        <f>20*LOG(IMABS(L33))</f>
        <v>-19.740580876594127</v>
      </c>
      <c r="N33" s="56">
        <f>(180/PI())*IMARGUMENT(L33)+180</f>
        <v>67.1053771495803</v>
      </c>
      <c r="O33" s="56">
        <f t="shared" si="1"/>
        <v>67.1053771495803</v>
      </c>
    </row>
    <row r="34" spans="1:15" ht="12.75">
      <c r="A34" s="59">
        <f t="shared" si="2"/>
        <v>33</v>
      </c>
      <c r="B34" s="56">
        <f t="shared" si="3"/>
        <v>8250</v>
      </c>
      <c r="C34" s="56">
        <f aca="true" t="shared" si="4" ref="C34:C65">ta1*ta2*(rload/RS)</f>
        <v>1058.40217754644</v>
      </c>
      <c r="D34" s="39" t="str">
        <f>IMDIV((_XLL.KOMPLEXE(1,2*PI()*(B34)*(esrcout*0.001)*(cout*0.000001))),(_XLL.KOMPLEXE(1,2*PI()*(B34)*rload*(cout*0.000001))))</f>
        <v>3.44446486416854e-005-1.42895138995107e-005i</v>
      </c>
      <c r="E34" s="39" t="str">
        <f>IMDIV(1,(_XLL.KOMPLEXE((1-(B34/(fpp*1000))^2),(B34/(fpp*1000)))))</f>
        <v>0.748394849515882-0.875160525656418i</v>
      </c>
      <c r="F34" s="56" t="str">
        <f>_XLL.IMPRODUKT(D34,E34)</f>
        <v>1.32725791411511e-005-4.08387954157874e-005i</v>
      </c>
      <c r="G34" s="56" t="str">
        <f>_XLL.IMPRODUKT(C34,F34)</f>
        <v>0.0140477266646518-0.043223869996443i</v>
      </c>
      <c r="H34" s="60">
        <f>IMABS(G34)</f>
        <v>0.04544932960907318</v>
      </c>
      <c r="I34" s="39" t="str">
        <f>IMDIV((_XLL.KOMPLEXE(1,(2*PI()*B34*(rf*1000)*(Cz*0.000000001)))),(_XLL.KOMPLEXE(0,2*PI()*B34*((Cz*0.000000001)+(Cp*0.000000000001))*(RII*1000))))</f>
        <v>2.74027402740274-0.344525671380764i</v>
      </c>
      <c r="J34" s="61" t="str">
        <f>IMDIV(1,(_XLL.KOMPLEXE(1,2*PI()*B34*(((Cz*0.000000001)*(Cp*0.000000000001))/((Cz*0.000000001)+(Cp*0.000000000001)))*(rf*1000))))</f>
        <v>0.656672665398621-0.474819624612222i</v>
      </c>
      <c r="K34" s="61" t="str">
        <f>_XLL.IMPRODUKT(I34,J34)</f>
        <v>1.63587549954288-1.52737647594985i</v>
      </c>
      <c r="L34" s="61" t="str">
        <f>_XLL.IMPRODUKT(G34,K34)</f>
        <v>-0.0430387903571025-0.0921650371707703i</v>
      </c>
      <c r="M34" s="56">
        <f>20*LOG(IMABS(L34))</f>
        <v>-19.851968186192853</v>
      </c>
      <c r="N34" s="56">
        <f>(180/PI())*IMARGUMENT(L34)+180</f>
        <v>64.9685900295386</v>
      </c>
      <c r="O34" s="56">
        <f t="shared" si="1"/>
        <v>64.9685900295386</v>
      </c>
    </row>
    <row r="35" spans="1:15" ht="12.75">
      <c r="A35" s="59">
        <f t="shared" si="2"/>
        <v>34</v>
      </c>
      <c r="B35" s="56">
        <f t="shared" si="3"/>
        <v>8500</v>
      </c>
      <c r="C35" s="56">
        <f t="shared" si="4"/>
        <v>1058.40217754644</v>
      </c>
      <c r="D35" s="39" t="str">
        <f>IMDIV((_XLL.KOMPLEXE(1,2*PI()*(B35)*(esrcout*0.001)*(cout*0.000001))),(_XLL.KOMPLEXE(1,2*PI()*(B35)*rload*(cout*0.000001))))</f>
        <v>3.44446368067242e-005-1.3869234079101e-005i</v>
      </c>
      <c r="E35" s="39" t="str">
        <f>IMDIV(1,(_XLL.KOMPLEXE((1-(B35/(fpp*1000))^2),(B35/(fpp*1000)))))</f>
        <v>0.715451364638305-0.904960803485952i</v>
      </c>
      <c r="F35" s="56" t="str">
        <f>_XLL.IMPRODUKT(D35,E35)</f>
        <v>1.20923491918836e-005-4.10938086487758e-005i</v>
      </c>
      <c r="G35" s="56" t="str">
        <f>_XLL.IMPRODUKT(C35,F35)</f>
        <v>0.0127985687163415-0.043493776557541i</v>
      </c>
      <c r="H35" s="60">
        <f>IMABS(G35)</f>
        <v>0.045337754249898825</v>
      </c>
      <c r="I35" s="39" t="str">
        <f>IMDIV((_XLL.KOMPLEXE(1,(2*PI()*B35*(rf*1000)*(Cz*0.000000001)))),(_XLL.KOMPLEXE(0,2*PI()*B35*((Cz*0.000000001)+(Cp*0.000000000001))*(RII*1000))))</f>
        <v>2.74027402740274-0.334392563398977i</v>
      </c>
      <c r="J35" s="61" t="str">
        <f>IMDIV(1,(_XLL.KOMPLEXE(1,2*PI()*B35*(((Cz*0.000000001)*(Cp*0.000000000001))/((Cz*0.000000001)+(Cp*0.000000000001)))*(rf*1000))))</f>
        <v>0.643088711741983-0.479088322308131i</v>
      </c>
      <c r="K35" s="61" t="str">
        <f>_XLL.IMPRODUKT(I35,J35)</f>
        <v>1.60203572191131-1.52787736926527i</v>
      </c>
      <c r="L35" s="61" t="str">
        <f>_XLL.IMPRODUKT(G35,K35)</f>
        <v>-0.0459493926332316-0.0892332272266941i</v>
      </c>
      <c r="M35" s="56">
        <f>20*LOG(IMABS(L35))</f>
        <v>-19.968016952621642</v>
      </c>
      <c r="N35" s="56">
        <f>(180/PI())*IMARGUMENT(L35)+180</f>
        <v>62.754435186762066</v>
      </c>
      <c r="O35" s="56">
        <f t="shared" si="1"/>
        <v>62.754435186762066</v>
      </c>
    </row>
    <row r="36" spans="1:15" ht="12.75">
      <c r="A36" s="59">
        <f t="shared" si="2"/>
        <v>35</v>
      </c>
      <c r="B36" s="56">
        <f aca="true" t="shared" si="5" ref="B36:B67">(fs*1000/2)*(A36/100)</f>
        <v>8750</v>
      </c>
      <c r="C36" s="56">
        <f t="shared" si="4"/>
        <v>1058.40217754644</v>
      </c>
      <c r="D36" s="39" t="str">
        <f>IMDIV((_XLL.KOMPLEXE(1,2*PI()*(B36)*(esrcout*0.001)*(cout*0.000001))),(_XLL.KOMPLEXE(1,2*PI()*(B36)*rload*(cout*0.000001))))</f>
        <v>3.44446259716243e-005-1.34729702484156e-005i</v>
      </c>
      <c r="E36" s="39" t="str">
        <f>IMDIV(1,(_XLL.KOMPLEXE((1-(B36/(fpp*1000))^2),(B36/(fpp*1000)))))</f>
        <v>0.67990934542061-0.933208905479269i</v>
      </c>
      <c r="F36" s="56" t="str">
        <f>_XLL.IMPRODUKT(D36,E36)</f>
        <v>1.08461272785461e-005-4.13044300850939e-005i</v>
      </c>
      <c r="G36" s="56" t="str">
        <f>_XLL.IMPRODUKT(C36,F36)</f>
        <v>0.011479564729559-0.0437166987443781i</v>
      </c>
      <c r="H36" s="60">
        <f>IMABS(G36)</f>
        <v>0.04519878488949506</v>
      </c>
      <c r="I36" s="39" t="str">
        <f>IMDIV((_XLL.KOMPLEXE(1,(2*PI()*B36*(rf*1000)*(Cz*0.000000001)))),(_XLL.KOMPLEXE(0,2*PI()*B36*((Cz*0.000000001)+(Cp*0.000000000001))*(RII*1000))))</f>
        <v>2.74027402740274-0.324838490159006i</v>
      </c>
      <c r="J36" s="61" t="str">
        <f>IMDIV(1,(_XLL.KOMPLEXE(1,2*PI()*B36*(((Cz*0.000000001)*(Cp*0.000000000001))/((Cz*0.000000001)+(Cp*0.000000000001)))*(rf*1000))))</f>
        <v>0.629674424719853-0.4828918549464i</v>
      </c>
      <c r="K36" s="61" t="str">
        <f>_XLL.IMPRODUKT(I36,J36)</f>
        <v>1.56861861070871-1.52779849757169i</v>
      </c>
      <c r="L36" s="61" t="str">
        <f>_XLL.IMPRODUKT(G36,K36)</f>
        <v>-0.0487832477828336-0.0861132889957748i</v>
      </c>
      <c r="M36" s="56">
        <f>20*LOG(IMABS(L36))</f>
        <v>-20.08982089614659</v>
      </c>
      <c r="N36" s="56">
        <f>(180/PI())*IMARGUMENT(L36)+180</f>
        <v>60.468411447391844</v>
      </c>
      <c r="O36" s="56">
        <f t="shared" si="1"/>
        <v>60.468411447391844</v>
      </c>
    </row>
    <row r="37" spans="1:15" ht="12.75">
      <c r="A37" s="59">
        <f t="shared" si="2"/>
        <v>36</v>
      </c>
      <c r="B37" s="56">
        <f t="shared" si="5"/>
        <v>9000</v>
      </c>
      <c r="C37" s="56">
        <f t="shared" si="4"/>
        <v>1058.40217754644</v>
      </c>
      <c r="D37" s="39" t="str">
        <f>IMDIV((_XLL.KOMPLEXE(1,2*PI()*(B37)*(esrcout*0.001)*(cout*0.000001))),(_XLL.KOMPLEXE(1,2*PI()*(B37)*rload*(cout*0.000001))))</f>
        <v>3.44446160268484e-005-1.30987210749787e-005i</v>
      </c>
      <c r="E37" s="39" t="str">
        <f>IMDIV(1,(_XLL.KOMPLEXE((1-(B37/(fpp*1000))^2),(B37/(fpp*1000)))))</f>
        <v>0.641843596575924-0.959566838734771i</v>
      </c>
      <c r="F37" s="56" t="str">
        <f>_XLL.IMPRODUKT(D37,E37)</f>
        <v>9.53895785996326e-006-4.14592415576251e-005i</v>
      </c>
      <c r="G37" s="56" t="str">
        <f>_XLL.IMPRODUKT(C37,F37)</f>
        <v>0.0100960537705088-0.0438805515440143i</v>
      </c>
      <c r="H37" s="60">
        <f>IMABS(G37)</f>
        <v>0.045027026390201494</v>
      </c>
      <c r="I37" s="39" t="str">
        <f>IMDIV((_XLL.KOMPLEXE(1,(2*PI()*B37*(rf*1000)*(Cz*0.000000001)))),(_XLL.KOMPLEXE(0,2*PI()*B37*((Cz*0.000000001)+(Cp*0.000000000001))*(RII*1000))))</f>
        <v>2.74027402740274-0.315815198765701i</v>
      </c>
      <c r="J37" s="61" t="str">
        <f>IMDIV(1,(_XLL.KOMPLEXE(1,2*PI()*B37*(((Cz*0.000000001)*(Cp*0.000000000001))/((Cz*0.000000001)+(Cp*0.000000000001)))*(rf*1000))))</f>
        <v>0.616443230218679-0.486251965688818i</v>
      </c>
      <c r="K37" s="61" t="str">
        <f>_XLL.IMPRODUKT(I37,J37)</f>
        <v>1.53565761194227-1.52714577362988i</v>
      </c>
      <c r="L37" s="61" t="str">
        <f>_XLL.IMPRODUKT(G37,K37)</f>
        <v>-0.0515079170117293-0.0828036488407632i</v>
      </c>
      <c r="M37" s="56">
        <f>20*LOG(IMABS(L37))</f>
        <v>-20.21841870756071</v>
      </c>
      <c r="N37" s="56">
        <f>(180/PI())*IMARGUMENT(L37)+180</f>
        <v>58.11636854958002</v>
      </c>
      <c r="O37" s="56">
        <f t="shared" si="1"/>
        <v>58.11636854958002</v>
      </c>
    </row>
    <row r="38" spans="1:15" ht="12.75">
      <c r="A38" s="59">
        <f t="shared" si="2"/>
        <v>37</v>
      </c>
      <c r="B38" s="56">
        <f t="shared" si="5"/>
        <v>9250</v>
      </c>
      <c r="C38" s="56">
        <f t="shared" si="4"/>
        <v>1058.40217754644</v>
      </c>
      <c r="D38" s="39" t="str">
        <f>IMDIV((_XLL.KOMPLEXE(1,2*PI()*(B38)*(esrcout*0.001)*(cout*0.000001))),(_XLL.KOMPLEXE(1,2*PI()*(B38)*rload*(cout*0.000001))))</f>
        <v>3.44446068774579e-005-1.27447015865824e-005i</v>
      </c>
      <c r="E38" s="39" t="str">
        <f>IMDIV(1,(_XLL.KOMPLEXE((1-(B38/(fpp*1000))^2),(B38/(fpp*1000)))))</f>
        <v>0.601383213294195-0.983694911223927i</v>
      </c>
      <c r="F38" s="56" t="str">
        <f>_XLL.IMPRODUKT(D38,E38)</f>
        <v>8.17751026883235e-006-4.15474340970786e-005i</v>
      </c>
      <c r="G38" s="56" t="str">
        <f>_XLL.IMPRODUKT(C38,F38)</f>
        <v>0.00865509467544053-0.0439738947198152i</v>
      </c>
      <c r="H38" s="60">
        <f>IMABS(G38)</f>
        <v>0.04481756442144343</v>
      </c>
      <c r="I38" s="39" t="str">
        <f>IMDIV((_XLL.KOMPLEXE(1,(2*PI()*B38*(rf*1000)*(Cz*0.000000001)))),(_XLL.KOMPLEXE(0,2*PI()*B38*((Cz*0.000000001)+(Cp*0.000000000001))*(RII*1000))))</f>
        <v>2.74027402740274-0.307279652853115i</v>
      </c>
      <c r="J38" s="61" t="str">
        <f>IMDIV(1,(_XLL.KOMPLEXE(1,2*PI()*B38*(((Cz*0.000000001)*(Cp*0.000000000001))/((Cz*0.000000001)+(Cp*0.000000000001)))*(rf*1000))))</f>
        <v>0.603406828594529-0.489190175494175i</v>
      </c>
      <c r="K38" s="61" t="str">
        <f>_XLL.IMPRODUKT(I38,J38)</f>
        <v>1.50318187305004-1.525929773187i</v>
      </c>
      <c r="L38" s="61" t="str">
        <f>_XLL.IMPRODUKT(G38,K38)</f>
        <v>-0.0540908937703025-0.0793078280852441i</v>
      </c>
      <c r="M38" s="56">
        <f>20*LOG(IMABS(L38))</f>
        <v>-20.354784393477637</v>
      </c>
      <c r="N38" s="56">
        <f>(180/PI())*IMARGUMENT(L38)+180</f>
        <v>55.704555075942864</v>
      </c>
      <c r="O38" s="56">
        <f t="shared" si="1"/>
        <v>55.704555075942864</v>
      </c>
    </row>
    <row r="39" spans="1:15" ht="12.75">
      <c r="A39" s="59">
        <f t="shared" si="2"/>
        <v>38</v>
      </c>
      <c r="B39" s="56">
        <f t="shared" si="5"/>
        <v>9500</v>
      </c>
      <c r="C39" s="56">
        <f t="shared" si="4"/>
        <v>1058.40217754644</v>
      </c>
      <c r="D39" s="39" t="str">
        <f>IMDIV((_XLL.KOMPLEXE(1,2*PI()*(B39)*(esrcout*0.001)*(cout*0.000001))),(_XLL.KOMPLEXE(1,2*PI()*(B39)*rload*(cout*0.000001))))</f>
        <v>3.44445984408402e-005-1.24093147028297e-005i</v>
      </c>
      <c r="E39" s="39" t="str">
        <f>IMDIV(1,(_XLL.KOMPLEXE((1-(B39/(fpp*1000))^2),(B39/(fpp*1000)))))</f>
        <v>0.558714077224444-1.00526207076368i</v>
      </c>
      <c r="F39" s="56" t="str">
        <f>_XLL.IMPRODUKT(D39,E39)</f>
        <v>6.77006863831579e-006-4.15591071684417e-005i</v>
      </c>
      <c r="G39" s="56" t="str">
        <f>_XLL.IMPRODUKT(C39,F39)</f>
        <v>0.00716545538893229-0.0439862495239646i</v>
      </c>
      <c r="H39" s="60">
        <f>IMABS(G39)</f>
        <v>0.044566062178694396</v>
      </c>
      <c r="I39" s="39" t="str">
        <f>IMDIV((_XLL.KOMPLEXE(1,(2*PI()*B39*(rf*1000)*(Cz*0.000000001)))),(_XLL.KOMPLEXE(0,2*PI()*B39*((Cz*0.000000001)+(Cp*0.000000000001))*(RII*1000))))</f>
        <v>2.74027402740274-0.299193346199085i</v>
      </c>
      <c r="J39" s="61" t="str">
        <f>IMDIV(1,(_XLL.KOMPLEXE(1,2*PI()*B39*(((Cz*0.000000001)*(Cp*0.000000000001))/((Cz*0.000000001)+(Cp*0.000000000001)))*(rf*1000))))</f>
        <v>0.590575302007053-0.491727683445147i</v>
      </c>
      <c r="K39" s="61" t="str">
        <f>_XLL.IMPRODUKT(I39,J39)</f>
        <v>1.47121651028678-1.52416480028968i</v>
      </c>
      <c r="L39" s="61" t="str">
        <f>_XLL.IMPRODUKT(G39,K39)</f>
        <v>-0.056500356949265-0.0756346314071074i</v>
      </c>
      <c r="M39" s="56">
        <f>20*LOG(IMABS(L39))</f>
        <v>-20.499815603940696</v>
      </c>
      <c r="N39" s="56">
        <f>(180/PI())*IMARGUMENT(L39)+180</f>
        <v>53.239642855946585</v>
      </c>
      <c r="O39" s="56">
        <f t="shared" si="1"/>
        <v>53.239642855946585</v>
      </c>
    </row>
    <row r="40" spans="1:15" ht="12.75">
      <c r="A40" s="59">
        <f t="shared" si="2"/>
        <v>39</v>
      </c>
      <c r="B40" s="56">
        <f t="shared" si="5"/>
        <v>9750</v>
      </c>
      <c r="C40" s="56">
        <f t="shared" si="4"/>
        <v>1058.40217754644</v>
      </c>
      <c r="D40" s="39" t="str">
        <f>IMDIV((_XLL.KOMPLEXE(1,2*PI()*(B40)*(esrcout*0.001)*(cout*0.000001))),(_XLL.KOMPLEXE(1,2*PI()*(B40)*rload*(cout*0.000001))))</f>
        <v>3.4444590644836e-005-1.20911271464411e-005i</v>
      </c>
      <c r="E40" s="39" t="str">
        <f>IMDIV(1,(_XLL.KOMPLEXE((1-(B40/(fpp*1000))^2),(B40/(fpp*1000)))))</f>
        <v>0.514079044457808-1.02395723870554i</v>
      </c>
      <c r="F40" s="56" t="str">
        <f>_XLL.IMPRODUKT(D40,E40)</f>
        <v>5.32644507973022e-006-4.14855830148893e-005i</v>
      </c>
      <c r="G40" s="56" t="str">
        <f>_XLL.IMPRODUKT(C40,F40)</f>
        <v>0.00563752107096799-0.0439084313997424i</v>
      </c>
      <c r="H40" s="60">
        <f>IMABS(G40)</f>
        <v>0.04426886029492394</v>
      </c>
      <c r="I40" s="39" t="str">
        <f>IMDIV((_XLL.KOMPLEXE(1,(2*PI()*B40*(rf*1000)*(Cz*0.000000001)))),(_XLL.KOMPLEXE(0,2*PI()*B40*((Cz*0.000000001)+(Cp*0.000000000001))*(RII*1000))))</f>
        <v>2.74027402740274-0.29152172193757i</v>
      </c>
      <c r="J40" s="61" t="str">
        <f>IMDIV(1,(_XLL.KOMPLEXE(1,2*PI()*B40*(((Cz*0.000000001)*(Cp*0.000000000001))/((Cz*0.000000001)+(Cp*0.000000000001)))*(rf*1000))))</f>
        <v>0.57795722235769-0.493885281702415i</v>
      </c>
      <c r="K40" s="61" t="str">
        <f>_XLL.IMPRODUKT(I40,J40)</f>
        <v>1.4397828776151-1.52186809463358i</v>
      </c>
      <c r="L40" s="61" t="str">
        <f>_XLL.IMPRODUKT(G40,K40)</f>
        <v>-0.0587060345225012-0.0717981711630171i</v>
      </c>
      <c r="M40" s="56">
        <f>20*LOG(IMABS(L40))</f>
        <v>-20.654320736751792</v>
      </c>
      <c r="N40" s="56">
        <f>(180/PI())*IMARGUMENT(L40)+180</f>
        <v>50.72872600131126</v>
      </c>
      <c r="O40" s="56">
        <f t="shared" si="1"/>
        <v>50.72872600131126</v>
      </c>
    </row>
    <row r="41" spans="1:15" ht="12.75">
      <c r="A41" s="59">
        <f t="shared" si="2"/>
        <v>40</v>
      </c>
      <c r="B41" s="56">
        <f t="shared" si="5"/>
        <v>10000</v>
      </c>
      <c r="C41" s="56">
        <f t="shared" si="4"/>
        <v>1058.40217754644</v>
      </c>
      <c r="D41" s="39" t="str">
        <f>IMDIV((_XLL.KOMPLEXE(1,2*PI()*(B41)*(esrcout*0.001)*(cout*0.000001))),(_XLL.KOMPLEXE(1,2*PI()*(B41)*rload*(cout*0.000001))))</f>
        <v>3.44445834261916e-005-1.17888489678652e-005i</v>
      </c>
      <c r="E41" s="39" t="str">
        <f>IMDIV(1,(_XLL.KOMPLEXE((1-(B41/(fpp*1000))^2),(B41/(fpp*1000)))))</f>
        <v>0.467775467775468-1.03950103950104i</v>
      </c>
      <c r="F41" s="56" t="str">
        <f>_XLL.IMPRODUKT(D41,E41)</f>
        <v>3.85781036790127e-006-4.1319714617184e-005i</v>
      </c>
      <c r="G41" s="56" t="str">
        <f>_XLL.IMPRODUKT(C41,F41)</f>
        <v>0.00408311489394794-0.043732875926425i</v>
      </c>
      <c r="H41" s="60">
        <f>IMABS(G41)</f>
        <v>0.04392307211515679</v>
      </c>
      <c r="I41" s="39" t="str">
        <f>IMDIV((_XLL.KOMPLEXE(1,(2*PI()*B41*(rf*1000)*(Cz*0.000000001)))),(_XLL.KOMPLEXE(0,2*PI()*B41*((Cz*0.000000001)+(Cp*0.000000000001))*(RII*1000))))</f>
        <v>2.74027402740274-0.28423367888913i</v>
      </c>
      <c r="J41" s="61" t="str">
        <f>IMDIV(1,(_XLL.KOMPLEXE(1,2*PI()*B41*(((Cz*0.000000001)*(Cp*0.000000000001))/((Cz*0.000000001)+(Cp*0.000000000001)))*(rf*1000))))</f>
        <v>0.565559758517333-0.495683284026352i</v>
      </c>
      <c r="K41" s="61" t="str">
        <f>_XLL.IMPRODUKT(I41,J41)</f>
        <v>1.40889883382656-1.51905915983014i</v>
      </c>
      <c r="L41" s="61" t="str">
        <f>_XLL.IMPRODUKT(G41,K41)</f>
        <v>-0.0606801299492878-0.0678176909729123i</v>
      </c>
      <c r="M41" s="56">
        <f>20*LOG(IMABS(L41))</f>
        <v>-20.819005708039878</v>
      </c>
      <c r="N41" s="56">
        <f>(180/PI())*IMARGUMENT(L41)+180</f>
        <v>48.17929367389726</v>
      </c>
      <c r="O41" s="56">
        <f t="shared" si="1"/>
        <v>48.17929367389726</v>
      </c>
    </row>
    <row r="42" spans="1:15" ht="12.75">
      <c r="A42" s="59">
        <f t="shared" si="2"/>
        <v>41</v>
      </c>
      <c r="B42" s="56">
        <f t="shared" si="5"/>
        <v>10250</v>
      </c>
      <c r="C42" s="56">
        <f t="shared" si="4"/>
        <v>1058.40217754644</v>
      </c>
      <c r="D42" s="39" t="str">
        <f>IMDIV((_XLL.KOMPLEXE(1,2*PI()*(B42)*(esrcout*0.001)*(cout*0.000001))),(_XLL.KOMPLEXE(1,2*PI()*(B42)*rload*(cout*0.000001))))</f>
        <v>3.44445767292722e-005-1.1501316066287e-005i</v>
      </c>
      <c r="E42" s="39" t="str">
        <f>IMDIV(1,(_XLL.KOMPLEXE((1-(B42/(fpp*1000))^2),(B42/(fpp*1000)))))</f>
        <v>0.420149875001565-1.05165719627986i</v>
      </c>
      <c r="F42" s="56" t="str">
        <f>_XLL.IMPRODUKT(D42,E42)</f>
        <v>2.37644279948564e-006-4.10561634977569e-005i</v>
      </c>
      <c r="G42" s="56" t="str">
        <f>_XLL.IMPRODUKT(C42,F42)</f>
        <v>0.00251523223379016-0.0434539328477286i</v>
      </c>
      <c r="H42" s="60">
        <f>IMABS(G42)</f>
        <v>0.04352666623030994</v>
      </c>
      <c r="I42" s="39" t="str">
        <f>IMDIV((_XLL.KOMPLEXE(1,(2*PI()*B42*(rf*1000)*(Cz*0.000000001)))),(_XLL.KOMPLEXE(0,2*PI()*B42*((Cz*0.000000001)+(Cp*0.000000000001))*(RII*1000))))</f>
        <v>2.74027402740274-0.277301150135737i</v>
      </c>
      <c r="J42" s="61" t="str">
        <f>IMDIV(1,(_XLL.KOMPLEXE(1,2*PI()*B42*(((Cz*0.000000001)*(Cp*0.000000000001))/((Cz*0.000000001)+(Cp*0.000000000001)))*(rf*1000))))</f>
        <v>0.55338878174607-0.497141466771452i</v>
      </c>
      <c r="K42" s="61" t="str">
        <f>_XLL.IMPRODUKT(I42,J42)</f>
        <v>1.37857900515891-1.51575919498911i</v>
      </c>
      <c r="L42" s="61" t="str">
        <f>_XLL.IMPRODUKT(G42,K42)</f>
        <v>-0.0623982519217819-0.0637171659013642i</v>
      </c>
      <c r="M42" s="56">
        <f>20*LOG(IMABS(L42))</f>
        <v>-20.99446133545175</v>
      </c>
      <c r="N42" s="56">
        <f>(180/PI())*IMARGUMENT(L42)+180</f>
        <v>45.599176937296704</v>
      </c>
      <c r="O42" s="56">
        <f t="shared" si="1"/>
        <v>45.599176937296704</v>
      </c>
    </row>
    <row r="43" spans="1:15" ht="12.75">
      <c r="A43" s="59">
        <f t="shared" si="2"/>
        <v>42</v>
      </c>
      <c r="B43" s="56">
        <f t="shared" si="5"/>
        <v>10500</v>
      </c>
      <c r="C43" s="56">
        <f t="shared" si="4"/>
        <v>1058.40217754644</v>
      </c>
      <c r="D43" s="39" t="str">
        <f>IMDIV((_XLL.KOMPLEXE(1,2*PI()*(B43)*(esrcout*0.001)*(cout*0.000001))),(_XLL.KOMPLEXE(1,2*PI()*(B43)*rload*(cout*0.000001))))</f>
        <v>3.44445705049861e-005-1.12274752076358e-005i</v>
      </c>
      <c r="E43" s="39" t="str">
        <f>IMDIV(1,(_XLL.KOMPLEXE((1-(B43/(fpp*1000))^2),(B43/(fpp*1000)))))</f>
        <v>0.371589855273829-1.06024279358022i</v>
      </c>
      <c r="F43" s="56" t="str">
        <f>_XLL.IMPRODUKT(D43,E43)</f>
        <v>8.95403289920545e-007-4.06916235433732e-005i</v>
      </c>
      <c r="G43" s="56" t="str">
        <f>_XLL.IMPRODUKT(C43,F43)</f>
        <v>0.000947696791834151-0.0430681029662062i</v>
      </c>
      <c r="H43" s="60">
        <f>IMABS(G43)</f>
        <v>0.043078528553294304</v>
      </c>
      <c r="I43" s="39" t="str">
        <f>IMDIV((_XLL.KOMPLEXE(1,(2*PI()*B43*(rf*1000)*(Cz*0.000000001)))),(_XLL.KOMPLEXE(0,2*PI()*B43*((Cz*0.000000001)+(Cp*0.000000000001))*(RII*1000))))</f>
        <v>2.74027402740275-0.270698741799172i</v>
      </c>
      <c r="J43" s="61" t="str">
        <f>IMDIV(1,(_XLL.KOMPLEXE(1,2*PI()*B43*(((Cz*0.000000001)*(Cp*0.000000000001))/((Cz*0.000000001)+(Cp*0.000000000001)))*(rf*1000))))</f>
        <v>0.541448968407327-0.498279021250111i</v>
      </c>
      <c r="K43" s="61" t="str">
        <f>_XLL.IMPRODUKT(I43,J43)</f>
        <v>1.34883504117328-1.51199061482767i</v>
      </c>
      <c r="L43" s="61" t="str">
        <f>_XLL.IMPRODUKT(G43,K43)</f>
        <v>-0.0638402808421021-0.0595246750926333i</v>
      </c>
      <c r="M43" s="56">
        <f>20*LOG(IMABS(L43))</f>
        <v>-21.18115228012379</v>
      </c>
      <c r="N43" s="56">
        <f>(180/PI())*IMARGUMENT(L43)+180</f>
        <v>42.996471509942126</v>
      </c>
      <c r="O43" s="56">
        <f t="shared" si="1"/>
        <v>42.996471509942126</v>
      </c>
    </row>
    <row r="44" spans="1:15" ht="12.75">
      <c r="A44" s="59">
        <f t="shared" si="2"/>
        <v>43</v>
      </c>
      <c r="B44" s="56">
        <f t="shared" si="5"/>
        <v>10750</v>
      </c>
      <c r="C44" s="56">
        <f t="shared" si="4"/>
        <v>1058.40217754644</v>
      </c>
      <c r="D44" s="39" t="str">
        <f>IMDIV((_XLL.KOMPLEXE(1,2*PI()*(B44)*(esrcout*0.001)*(cout*0.000001))),(_XLL.KOMPLEXE(1,2*PI()*(B44)*rload*(cout*0.000001))))</f>
        <v>3.44445647098828e-005-1.09663711331031e-005i</v>
      </c>
      <c r="E44" s="39" t="str">
        <f>IMDIV(1,(_XLL.KOMPLEXE((1-(B44/(fpp*1000))^2),(B44/(fpp*1000)))))</f>
        <v>0.322513460849838-1.0651366218543i</v>
      </c>
      <c r="F44" s="56" t="str">
        <f>_XLL.IMPRODUKT(D44,E44)</f>
        <v>-5.71847730663447e-007-4.02249696034272e-005i</v>
      </c>
      <c r="G44" s="56" t="str">
        <f>_XLL.IMPRODUKT(C44,F44)</f>
        <v>-0.000605244883359182-0.0425741954200067i</v>
      </c>
      <c r="H44" s="60">
        <f>IMABS(G44)</f>
        <v>0.04257849735523499</v>
      </c>
      <c r="I44" s="39" t="str">
        <f>IMDIV((_XLL.KOMPLEXE(1,(2*PI()*B44*(rf*1000)*(Cz*0.000000001)))),(_XLL.KOMPLEXE(0,2*PI()*B44*((Cz*0.000000001)+(Cp*0.000000000001))*(RII*1000))))</f>
        <v>2.74027402740274-0.264403422222447i</v>
      </c>
      <c r="J44" s="61" t="str">
        <f>IMDIV(1,(_XLL.KOMPLEXE(1,2*PI()*B44*(((Cz*0.000000001)*(Cp*0.000000000001))/((Cz*0.000000001)+(Cp*0.000000000001)))*(rf*1000))))</f>
        <v>0.529743899259783-0.499114516375575i</v>
      </c>
      <c r="K44" s="61" t="str">
        <f>_XLL.IMPRODUKT(I44,J44)</f>
        <v>1.31967586210603-1.50777664578942i</v>
      </c>
      <c r="L44" s="61" t="str">
        <f>_XLL.IMPRODUKT(G44,K44)</f>
        <v>-0.0649911046307933-0.0552715639442554i</v>
      </c>
      <c r="M44" s="56">
        <f>20*LOG(IMABS(L44))</f>
        <v>-21.379408423489537</v>
      </c>
      <c r="N44" s="56">
        <f>(180/PI())*IMARGUMENT(L44)+180</f>
        <v>40.37943977200027</v>
      </c>
      <c r="O44" s="56">
        <f t="shared" si="1"/>
        <v>40.37943977200027</v>
      </c>
    </row>
    <row r="45" spans="1:18" ht="12.75">
      <c r="A45" s="59">
        <f t="shared" si="2"/>
        <v>44</v>
      </c>
      <c r="B45" s="56">
        <f t="shared" si="5"/>
        <v>11000</v>
      </c>
      <c r="C45" s="56">
        <f t="shared" si="4"/>
        <v>1058.40217754644</v>
      </c>
      <c r="D45" s="39" t="str">
        <f>IMDIV((_XLL.KOMPLEXE(1,2*PI()*(B45)*(esrcout*0.001)*(cout*0.000001))),(_XLL.KOMPLEXE(1,2*PI()*(B45)*rload*(cout*0.000001))))</f>
        <v>3.44445593053925e-005-1.07171354255905e-005i</v>
      </c>
      <c r="E45" s="39" t="str">
        <f>IMDIV(1,(_XLL.KOMPLEXE((1-(B45/(fpp*1000))^2),(B45/(fpp*1000)))))</f>
        <v>0.27335668044953-1.0662849237393i</v>
      </c>
      <c r="F45" s="56" t="str">
        <f>_XLL.IMPRODUKT(D45,E45)</f>
        <v>-2.01186953871045e-006-3.96573148560517e-005i</v>
      </c>
      <c r="G45" s="56" t="str">
        <f>_XLL.IMPRODUKT(C45,F45)</f>
        <v>-0.00212936710071049-0.0419733883992899i</v>
      </c>
      <c r="H45" s="60">
        <f>IMABS(G45)</f>
        <v>0.042027366536189645</v>
      </c>
      <c r="I45" s="39" t="str">
        <f>IMDIV((_XLL.KOMPLEXE(1,(2*PI()*B45*(rf*1000)*(Cz*0.000000001)))),(_XLL.KOMPLEXE(0,2*PI()*B45*((Cz*0.000000001)+(Cp*0.000000000001))*(RII*1000))))</f>
        <v>2.74027402740274-0.258394253535573i</v>
      </c>
      <c r="J45" s="61" t="str">
        <f>IMDIV(1,(_XLL.KOMPLEXE(1,2*PI()*B45*(((Cz*0.000000001)*(Cp*0.000000000001))/((Cz*0.000000001)+(Cp*0.000000000001)))*(rf*1000))))</f>
        <v>0.518276154772205-0.499665870524236i</v>
      </c>
      <c r="K45" s="61" t="str">
        <f>_XLL.IMPRODUKT(I45,J45)</f>
        <v>1.29110789631312-1.5031409875148i</v>
      </c>
      <c r="L45" s="61" t="str">
        <f>_XLL.IMPRODUKT(G45,K45)</f>
        <v>-0.0658411631657276-0.0509914342307972i</v>
      </c>
      <c r="M45" s="56">
        <f>20*LOG(IMABS(L45))</f>
        <v>-21.58941941122444</v>
      </c>
      <c r="N45" s="56">
        <f>(180/PI())*IMARGUMENT(L45)+180</f>
        <v>37.75639680349536</v>
      </c>
      <c r="O45" s="56">
        <f t="shared" si="1"/>
        <v>37.75639680349536</v>
      </c>
      <c r="P45" s="56">
        <v>-13.846</v>
      </c>
      <c r="Q45" s="56">
        <v>23.129</v>
      </c>
      <c r="R45" s="56">
        <f>B45</f>
        <v>11000</v>
      </c>
    </row>
    <row r="46" spans="1:15" ht="12.75">
      <c r="A46" s="59">
        <f t="shared" si="2"/>
        <v>45</v>
      </c>
      <c r="B46" s="56">
        <f t="shared" si="5"/>
        <v>11250</v>
      </c>
      <c r="C46" s="56">
        <f t="shared" si="4"/>
        <v>1058.40217754644</v>
      </c>
      <c r="D46" s="39" t="str">
        <f>IMDIV((_XLL.KOMPLEXE(1,2*PI()*(B46)*(esrcout*0.001)*(cout*0.000001))),(_XLL.KOMPLEXE(1,2*PI()*(B46)*rload*(cout*0.000001))))</f>
        <v>3.44445542571829e-005-1.04789768606303e-005i</v>
      </c>
      <c r="E46" s="39" t="str">
        <f>IMDIV(1,(_XLL.KOMPLEXE((1-(B46/(fpp*1000))^2),(B46/(fpp*1000)))))</f>
        <v>0.224559744711027-1.06370405389434i</v>
      </c>
      <c r="F46" s="56" t="str">
        <f>_XLL.IMPRODUKT(D46,E46)</f>
        <v>-3.41166985663932e-006-3.89919683666049e-005i</v>
      </c>
      <c r="G46" s="56" t="str">
        <f>_XLL.IMPRODUKT(C46,F46)</f>
        <v>-0.00361091880533661-0.0412691842260365i</v>
      </c>
      <c r="H46" s="60">
        <f>IMABS(G46)</f>
        <v>0.04142685483235813</v>
      </c>
      <c r="I46" s="39" t="str">
        <f>IMDIV((_XLL.KOMPLEXE(1,(2*PI()*B46*(rf*1000)*(Cz*0.000000001)))),(_XLL.KOMPLEXE(0,2*PI()*B46*((Cz*0.000000001)+(Cp*0.000000000001))*(RII*1000))))</f>
        <v>2.74027402740274-0.25265215901256i</v>
      </c>
      <c r="J46" s="61" t="str">
        <f>IMDIV(1,(_XLL.KOMPLEXE(1,2*PI()*B46*(((Cz*0.000000001)*(Cp*0.000000000001))/((Cz*0.000000001)+(Cp*0.000000000001)))*(rf*1000))))</f>
        <v>0.50704740604918-0.499950331601028i</v>
      </c>
      <c r="K46" s="61" t="str">
        <f>_XLL.IMPRODUKT(I46,J46)</f>
        <v>1.26313530678045-1.49810753053773i</v>
      </c>
      <c r="L46" s="61" t="str">
        <f>_XLL.IMPRODUKT(G46,K46)</f>
        <v>-0.0663867547011124-0.0467190190234985i</v>
      </c>
      <c r="M46" s="56">
        <f>20*LOG(IMABS(L46))</f>
        <v>-21.811232886317917</v>
      </c>
      <c r="N46" s="56">
        <f>(180/PI())*IMARGUMENT(L46)+180</f>
        <v>35.135586366074506</v>
      </c>
      <c r="O46" s="56">
        <f t="shared" si="1"/>
        <v>35.135586366074506</v>
      </c>
    </row>
    <row r="47" spans="1:15" ht="12.75">
      <c r="A47" s="59">
        <f t="shared" si="2"/>
        <v>46</v>
      </c>
      <c r="B47" s="56">
        <f t="shared" si="5"/>
        <v>11500</v>
      </c>
      <c r="C47" s="56">
        <f t="shared" si="4"/>
        <v>1058.40217754644</v>
      </c>
      <c r="D47" s="39" t="str">
        <f>IMDIV((_XLL.KOMPLEXE(1,2*PI()*(B47)*(esrcout*0.001)*(cout*0.000001))),(_XLL.KOMPLEXE(1,2*PI()*(B47)*rload*(cout*0.000001))))</f>
        <v>3.44445495346124e-005-1.02511730158824e-005i</v>
      </c>
      <c r="E47" s="39" t="str">
        <f>IMDIV(1,(_XLL.KOMPLEXE((1-(B47/(fpp*1000))^2),(B47/(fpp*1000)))))</f>
        <v>0.176553152797926-1.05747982144591i</v>
      </c>
      <c r="F47" s="56" t="str">
        <f>_XLL.IMPRODUKT(D47,E47)</f>
        <v>-4.75911479340629e-006-3.82342930074778e-005i</v>
      </c>
      <c r="G47" s="56" t="str">
        <f>_XLL.IMPRODUKT(C47,F47)</f>
        <v>-0.00503705746053469-0.0404672589760631i</v>
      </c>
      <c r="H47" s="60">
        <f>IMABS(G47)</f>
        <v>0.040779541401252756</v>
      </c>
      <c r="I47" s="39" t="str">
        <f>IMDIV((_XLL.KOMPLEXE(1,(2*PI()*B47*(rf*1000)*(Cz*0.000000001)))),(_XLL.KOMPLEXE(0,2*PI()*B47*((Cz*0.000000001)+(Cp*0.000000000001))*(RII*1000))))</f>
        <v>2.74027402740274-0.247159720773157i</v>
      </c>
      <c r="J47" s="61" t="str">
        <f>IMDIV(1,(_XLL.KOMPLEXE(1,2*PI()*B47*(((Cz*0.000000001)*(Cp*0.000000000001))/((Cz*0.000000001)+(Cp*0.000000000001)))*(rf*1000))))</f>
        <v>0.496058501080215-0.499984464344909i</v>
      </c>
      <c r="K47" s="61" t="str">
        <f>_XLL.IMPRODUKT(I47,J47)</f>
        <v>1.23576020598404-1.49270012236336i</v>
      </c>
      <c r="L47" s="61" t="str">
        <f>_XLL.IMPRODUKT(G47,K47)</f>
        <v>-0.066630077590263-0.0424890120001778i</v>
      </c>
      <c r="M47" s="56">
        <f>20*LOG(IMABS(L47))</f>
        <v>-22.04475667410926</v>
      </c>
      <c r="N47" s="56">
        <f>(180/PI())*IMARGUMENT(L47)+180</f>
        <v>32.52505343115584</v>
      </c>
      <c r="O47" s="56">
        <f t="shared" si="1"/>
        <v>32.52505343115584</v>
      </c>
    </row>
    <row r="48" spans="1:15" ht="12.75">
      <c r="A48" s="59">
        <f t="shared" si="2"/>
        <v>47</v>
      </c>
      <c r="B48" s="56">
        <f t="shared" si="5"/>
        <v>11750</v>
      </c>
      <c r="C48" s="56">
        <f t="shared" si="4"/>
        <v>1058.40217754644</v>
      </c>
      <c r="D48" s="39" t="str">
        <f>IMDIV((_XLL.KOMPLEXE(1,2*PI()*(B48)*(esrcout*0.001)*(cout*0.000001))),(_XLL.KOMPLEXE(1,2*PI()*(B48)*rload*(cout*0.000001))))</f>
        <v>3.44445451102641e-005-1.00330629517591e-005i</v>
      </c>
      <c r="E48" s="39" t="str">
        <f>IMDIV(1,(_XLL.KOMPLEXE((1-(B48/(fpp*1000))^2),(B48/(fpp*1000)))))</f>
        <v>0.129744340337863-1.04776357317518i</v>
      </c>
      <c r="F48" s="56" t="str">
        <f>_XLL.IMPRODUKT(D48,E48)</f>
        <v>-6.04329310465765e-006-3.73914727953682e-005i</v>
      </c>
      <c r="G48" s="56" t="str">
        <f>_XLL.IMPRODUKT(C48,F48)</f>
        <v>-0.00639623458152104-0.0395752162282862i</v>
      </c>
      <c r="H48" s="60">
        <f>IMABS(G48)</f>
        <v>0.04008877095069708</v>
      </c>
      <c r="I48" s="39" t="str">
        <f>IMDIV((_XLL.KOMPLEXE(1,(2*PI()*B48*(rf*1000)*(Cz*0.000000001)))),(_XLL.KOMPLEXE(0,2*PI()*B48*((Cz*0.000000001)+(Cp*0.000000000001))*(RII*1000))))</f>
        <v>2.74027402740274-0.241901003309899i</v>
      </c>
      <c r="J48" s="61" t="str">
        <f>IMDIV(1,(_XLL.KOMPLEXE(1,2*PI()*B48*(((Cz*0.000000001)*(Cp*0.000000000001))/((Cz*0.000000001)+(Cp*0.000000000001)))*(rf*1000))))</f>
        <v>0.485309546131751-0.49978414397132i</v>
      </c>
      <c r="K48" s="61" t="str">
        <f>_XLL.IMPRODUKT(I48,J48)</f>
        <v>1.20898285865041-1.48694237515746i</v>
      </c>
      <c r="L48" s="61" t="str">
        <f>_XLL.IMPRODUKT(G48,K48)</f>
        <v>-0.0665790039848239-0.0383349258066704i</v>
      </c>
      <c r="M48" s="56">
        <f>20*LOG(IMABS(L48))</f>
        <v>-22.289764900206205</v>
      </c>
      <c r="N48" s="56">
        <f>(180/PI())*IMARGUMENT(L48)+180</f>
        <v>29.932520003836714</v>
      </c>
      <c r="O48" s="56">
        <f t="shared" si="1"/>
        <v>29.932520003836714</v>
      </c>
    </row>
    <row r="49" spans="1:15" ht="12.75">
      <c r="A49" s="59">
        <f t="shared" si="2"/>
        <v>48</v>
      </c>
      <c r="B49" s="56">
        <f t="shared" si="5"/>
        <v>12000</v>
      </c>
      <c r="C49" s="56">
        <f t="shared" si="4"/>
        <v>1058.40217754644</v>
      </c>
      <c r="D49" s="39" t="str">
        <f>IMDIV((_XLL.KOMPLEXE(1,2*PI()*(B49)*(esrcout*0.001)*(cout*0.000001))),(_XLL.KOMPLEXE(1,2*PI()*(B49)*rload*(cout*0.000001))))</f>
        <v>3.44445409595467e-005-9.82404080697158e-006i</v>
      </c>
      <c r="E49" s="39" t="str">
        <f>IMDIV(1,(_XLL.KOMPLEXE((1-(B49/(fpp*1000))^2),(B49/(fpp*1000)))))</f>
        <v>0.0845058374562984-1.03476535660774i</v>
      </c>
      <c r="F49" s="56" t="str">
        <f>_XLL.IMPRODUKT(D49,E49)</f>
        <v>-7.25481230937067e-006-3.64722065047932e-005i</v>
      </c>
      <c r="G49" s="56" t="str">
        <f>_XLL.IMPRODUKT(C49,F49)</f>
        <v>-0.00767850914592863-0.0386022627845966i</v>
      </c>
      <c r="H49" s="60">
        <f>IMABS(G49)</f>
        <v>0.039358533951293996</v>
      </c>
      <c r="I49" s="39" t="str">
        <f>IMDIV((_XLL.KOMPLEXE(1,(2*PI()*B49*(rf*1000)*(Cz*0.000000001)))),(_XLL.KOMPLEXE(0,2*PI()*B49*((Cz*0.000000001)+(Cp*0.000000000001))*(RII*1000))))</f>
        <v>2.74027402740273-0.236861399074275i</v>
      </c>
      <c r="J49" s="61" t="str">
        <f>IMDIV(1,(_XLL.KOMPLEXE(1,2*PI()*B49*(((Cz*0.000000001)*(Cp*0.000000000001))/((Cz*0.000000001)+(Cp*0.000000000001)))*(rf*1000))))</f>
        <v>0.474799982192647-0.499364555312558i</v>
      </c>
      <c r="K49" s="61" t="str">
        <f>_XLL.IMPRODUKT(I49,J49)</f>
        <v>1.18280187219435-1.48085750919111i</v>
      </c>
      <c r="L49" s="61" t="str">
        <f>_XLL.IMPRODUKT(G49,K49)</f>
        <v>-0.0662466057098042-0.0342880507644181i</v>
      </c>
      <c r="M49" s="56">
        <f>20*LOG(IMABS(L49))</f>
        <v>-22.545907747700525</v>
      </c>
      <c r="N49" s="56">
        <f>(180/PI())*IMARGUMENT(L49)+180</f>
        <v>27.36527057002843</v>
      </c>
      <c r="O49" s="56">
        <f t="shared" si="1"/>
        <v>27.36527057002843</v>
      </c>
    </row>
    <row r="50" spans="1:15" ht="12.75">
      <c r="A50" s="59">
        <f t="shared" si="2"/>
        <v>49</v>
      </c>
      <c r="B50" s="56">
        <f t="shared" si="5"/>
        <v>12250</v>
      </c>
      <c r="C50" s="56">
        <f t="shared" si="4"/>
        <v>1058.40217754644</v>
      </c>
      <c r="D50" s="39" t="str">
        <f>IMDIV((_XLL.KOMPLEXE(1,2*PI()*(B50)*(esrcout*0.001)*(cout*0.000001))),(_XLL.KOMPLEXE(1,2*PI()*(B50)*rload*(cout*0.000001))))</f>
        <v>3.44445370603527e-005-9.62355017829541e-006i</v>
      </c>
      <c r="E50" s="39" t="str">
        <f>IMDIV(1,(_XLL.KOMPLEXE((1-(B50/(fpp*1000))^2),(B50/(fpp*1000)))))</f>
        <v>0.0411656036515804-1.01874473683204i</v>
      </c>
      <c r="F50" s="56" t="str">
        <f>_XLL.IMPRODUKT(D50,E50)</f>
        <v>-8.38601093318884e-006-3.54863500952113e-005i</v>
      </c>
      <c r="G50" s="56" t="str">
        <f>_XLL.IMPRODUKT(C50,F50)</f>
        <v>-0.00887577223261532-0.037558830213947i</v>
      </c>
      <c r="H50" s="60">
        <f>IMABS(G50)</f>
        <v>0.03859332921328976</v>
      </c>
      <c r="I50" s="39" t="str">
        <f>IMDIV((_XLL.KOMPLEXE(1,(2*PI()*B50*(rf*1000)*(Cz*0.000000001)))),(_XLL.KOMPLEXE(0,2*PI()*B50*((Cz*0.000000001)+(Cp*0.000000000001))*(RII*1000))))</f>
        <v>2.74027402740273-0.232027492970719i</v>
      </c>
      <c r="J50" s="61" t="str">
        <f>IMDIV(1,(_XLL.KOMPLEXE(1,2*PI()*B50*(((Cz*0.000000001)*(Cp*0.000000000001))/((Cz*0.000000001)+(Cp*0.000000000001)))*(rf*1000))))</f>
        <v>0.464528656459774-0.498740196683054i</v>
      </c>
      <c r="K50" s="61" t="str">
        <f>_XLL.IMPRODUKT(I50,J50)</f>
        <v>1.15721437480091-1.47446822696372i</v>
      </c>
      <c r="L50" s="61" t="str">
        <f>_XLL.IMPRODUKT(G50,K50)</f>
        <v>-0.0656504730074311-0.0303765740775281i</v>
      </c>
      <c r="M50" s="56">
        <f>20*LOG(IMABS(L50))</f>
        <v>-22.812724322242055</v>
      </c>
      <c r="N50" s="56">
        <f>(180/PI())*IMARGUMENT(L50)+180</f>
        <v>24.83005255816147</v>
      </c>
      <c r="O50" s="56">
        <f t="shared" si="1"/>
        <v>24.83005255816147</v>
      </c>
    </row>
    <row r="51" spans="1:15" ht="12.75">
      <c r="A51" s="59">
        <f t="shared" si="2"/>
        <v>50</v>
      </c>
      <c r="B51" s="56">
        <f t="shared" si="5"/>
        <v>12500</v>
      </c>
      <c r="C51" s="56">
        <f t="shared" si="4"/>
        <v>1058.40217754644</v>
      </c>
      <c r="D51" s="39" t="str">
        <f>IMDIV((_XLL.KOMPLEXE(1,2*PI()*(B51)*(esrcout*0.001)*(cout*0.000001))),(_XLL.KOMPLEXE(1,2*PI()*(B51)*rload*(cout*0.000001))))</f>
        <v>3.44445333927624e-005-9.43107917476401e-006i</v>
      </c>
      <c r="E51" s="39" t="str">
        <f>IMDIV(1,(_XLL.KOMPLEXE((1-(B51/(fpp*1000))^2),(B51/(fpp*1000)))))</f>
        <v>-i</v>
      </c>
      <c r="F51" s="56" t="str">
        <f>_XLL.IMPRODUKT(D51,E51)</f>
        <v>-9.43107917476401e-006-3.44445333927624e-005i</v>
      </c>
      <c r="G51" s="56" t="str">
        <f>_XLL.IMPRODUKT(C51,F51)</f>
        <v>-0.00998187473518311-0.0364561691474708i</v>
      </c>
      <c r="H51" s="60">
        <f>IMABS(G51)</f>
        <v>0.037798017039758706</v>
      </c>
      <c r="I51" s="39" t="str">
        <f>IMDIV((_XLL.KOMPLEXE(1,(2*PI()*B51*(rf*1000)*(Cz*0.000000001)))),(_XLL.KOMPLEXE(0,2*PI()*B51*((Cz*0.000000001)+(Cp*0.000000000001))*(RII*1000))))</f>
        <v>2.74027402740273-0.227386943111304i</v>
      </c>
      <c r="J51" s="61" t="str">
        <f>IMDIV(1,(_XLL.KOMPLEXE(1,2*PI()*B51*(((Cz*0.000000001)*(Cp*0.000000000001))/((Cz*0.000000001)+(Cp*0.000000000001)))*(rf*1000))))</f>
        <v>0.454493888913177-0.497924887762957i</v>
      </c>
      <c r="K51" s="61" t="str">
        <f>_XLL.IMPRODUKT(I51,J51)</f>
        <v>1.13221618127458-1.46779661359699i</v>
      </c>
      <c r="L51" s="61" t="str">
        <f>_XLL.IMPRODUKT(G51,K51)</f>
        <v>-0.064811881714007-0.0266249026823984i</v>
      </c>
      <c r="M51" s="56">
        <f>20*LOG(IMABS(L51))</f>
        <v>-23.089657915730697</v>
      </c>
      <c r="N51" s="56">
        <f>(180/PI())*IMARGUMENT(L51)+180</f>
        <v>22.332995878923782</v>
      </c>
      <c r="O51" s="56">
        <f t="shared" si="1"/>
        <v>22.332995878923782</v>
      </c>
    </row>
    <row r="52" spans="1:15" ht="12.75">
      <c r="A52" s="59">
        <f t="shared" si="2"/>
        <v>51</v>
      </c>
      <c r="B52" s="56">
        <f t="shared" si="5"/>
        <v>12750</v>
      </c>
      <c r="C52" s="56">
        <f t="shared" si="4"/>
        <v>1058.40217754644</v>
      </c>
      <c r="D52" s="39" t="str">
        <f>IMDIV((_XLL.KOMPLEXE(1,2*PI()*(B52)*(esrcout*0.001)*(cout*0.000001))),(_XLL.KOMPLEXE(1,2*PI()*(B52)*rload*(cout*0.000001))))</f>
        <v>3.44445299387909e-005-9.24615605372215e-006i</v>
      </c>
      <c r="E52" s="39" t="str">
        <f>IMDIV(1,(_XLL.KOMPLEXE((1-(B52/(fpp*1000))^2),(B52/(fpp*1000)))))</f>
        <v>-0.0387703964914096-0.978856545080144i</v>
      </c>
      <c r="F52" s="56" t="str">
        <f>_XLL.IMPRODUKT(D52,E52)</f>
        <v>-1.03860884527055e-005-3.33577764365702e-005i</v>
      </c>
      <c r="G52" s="56" t="str">
        <f>_XLL.IMPRODUKT(C52,F52)</f>
        <v>-0.0109926586345334-0.0353059432185732i</v>
      </c>
      <c r="H52" s="60">
        <f>IMABS(G52)</f>
        <v>0.036977671241013775</v>
      </c>
      <c r="I52" s="39" t="str">
        <f>IMDIV((_XLL.KOMPLEXE(1,(2*PI()*B52*(rf*1000)*(Cz*0.000000001)))),(_XLL.KOMPLEXE(0,2*PI()*B52*((Cz*0.000000001)+(Cp*0.000000000001))*(RII*1000))))</f>
        <v>2.74027402740275-0.222928375599318i</v>
      </c>
      <c r="J52" s="61" t="str">
        <f>IMDIV(1,(_XLL.KOMPLEXE(1,2*PI()*B52*(((Cz*0.000000001)*(Cp*0.000000000001))/((Cz*0.000000001)+(Cp*0.000000000001)))*(rf*1000))))</f>
        <v>0.444693534080938-0.496931780858845i</v>
      </c>
      <c r="K52" s="61" t="str">
        <f>_XLL.IMPRODUKT(I52,J52)</f>
        <v>1.1078019469054-1.46086405967067i</v>
      </c>
      <c r="L52" s="61" t="str">
        <f>_XLL.IMPRODUKT(G52,K52)</f>
        <v>-0.0637548721777896-0.0230532127154486i</v>
      </c>
      <c r="M52" s="56">
        <f>20*LOG(IMABS(L52))</f>
        <v>-23.376072855686512</v>
      </c>
      <c r="N52" s="56">
        <f>(180/PI())*IMARGUMENT(L52)+180</f>
        <v>19.8795540538149</v>
      </c>
      <c r="O52" s="56">
        <f t="shared" si="1"/>
        <v>19.8795540538149</v>
      </c>
    </row>
    <row r="53" spans="1:15" ht="12.75">
      <c r="A53" s="59">
        <f t="shared" si="2"/>
        <v>52</v>
      </c>
      <c r="B53" s="56">
        <f t="shared" si="5"/>
        <v>13000</v>
      </c>
      <c r="C53" s="56">
        <f t="shared" si="4"/>
        <v>1058.40217754644</v>
      </c>
      <c r="D53" s="39" t="str">
        <f>IMDIV((_XLL.KOMPLEXE(1,2*PI()*(B53)*(esrcout*0.001)*(cout*0.000001))),(_XLL.KOMPLEXE(1,2*PI()*(B53)*rload*(cout*0.000001))))</f>
        <v>3.44445266821646e-005-9.06834536041089e-006i</v>
      </c>
      <c r="E53" s="39" t="str">
        <f>IMDIV(1,(_XLL.KOMPLEXE((1-(B53/(fpp*1000))^2),(B53/(fpp*1000)))))</f>
        <v>-0.0749821807052913-0.955655244283123i</v>
      </c>
      <c r="F53" s="56" t="str">
        <f>_XLL.IMPRODUKT(D53,E53)</f>
        <v>-1.12489375246375e-005-3.22371282501483e-005i</v>
      </c>
      <c r="G53" s="56" t="str">
        <f>_XLL.IMPRODUKT(C53,F53)</f>
        <v>-0.0119058999711602-0.0341198467378008i</v>
      </c>
      <c r="H53" s="60">
        <f>IMABS(G53)</f>
        <v>0.03613743758949007</v>
      </c>
      <c r="I53" s="39" t="str">
        <f>IMDIV((_XLL.KOMPLEXE(1,(2*PI()*B53*(rf*1000)*(Cz*0.000000001)))),(_XLL.KOMPLEXE(0,2*PI()*B53*((Cz*0.000000001)+(Cp*0.000000000001))*(RII*1000))))</f>
        <v>2.74027402740275-0.218641291453177i</v>
      </c>
      <c r="J53" s="61" t="str">
        <f>IMDIV(1,(_XLL.KOMPLEXE(1,2*PI()*B53*(((Cz*0.000000001)*(Cp*0.000000000001))/((Cz*0.000000001)+(Cp*0.000000000001)))*(rf*1000))))</f>
        <v>0.435125038134224-0.495773374963717i</v>
      </c>
      <c r="K53" s="61" t="str">
        <f>_XLL.IMPRODUKT(I53,J53)</f>
        <v>1.08396530970168-1.45369120317216i</v>
      </c>
      <c r="L53" s="61" t="str">
        <f>_XLL.IMPRODUKT(G53,K53)</f>
        <v>-0.0625053036058393-0.0196772281821909i</v>
      </c>
      <c r="M53" s="56">
        <f>20*LOG(IMABS(L53))</f>
        <v>-23.671272101022982</v>
      </c>
      <c r="N53" s="56">
        <f>(180/PI())*IMARGUMENT(L53)+180</f>
        <v>17.474467846852633</v>
      </c>
      <c r="O53" s="56">
        <f t="shared" si="1"/>
        <v>17.474467846852633</v>
      </c>
    </row>
    <row r="54" spans="1:15" ht="12.75">
      <c r="A54" s="59">
        <f t="shared" si="2"/>
        <v>53</v>
      </c>
      <c r="B54" s="56">
        <f t="shared" si="5"/>
        <v>13250</v>
      </c>
      <c r="C54" s="56">
        <f t="shared" si="4"/>
        <v>1058.40217754644</v>
      </c>
      <c r="D54" s="39" t="str">
        <f>IMDIV((_XLL.KOMPLEXE(1,2*PI()*(B54)*(esrcout*0.001)*(cout*0.000001))),(_XLL.KOMPLEXE(1,2*PI()*(B54)*rload*(cout*0.000001))))</f>
        <v>3.44445236081309e-005-8.89724450458144e-006i</v>
      </c>
      <c r="E54" s="39" t="str">
        <f>IMDIV(1,(_XLL.KOMPLEXE((1-(B54/(fpp*1000))^2),(B54/(fpp*1000)))))</f>
        <v>-0.108527966006091-0.93074145603929i</v>
      </c>
      <c r="F54" s="56" t="str">
        <f>_XLL.IMPRODUKT(D54,E54)</f>
        <v>-1.20192283921709e-005-3.10933462064704e-005i</v>
      </c>
      <c r="G54" s="56" t="str">
        <f>_XLL.IMPRODUKT(C54,F54)</f>
        <v>-0.0127211775027017-0.0329092653321336i</v>
      </c>
      <c r="H54" s="60">
        <f>IMABS(G54)</f>
        <v>0.03528240498826596</v>
      </c>
      <c r="I54" s="39" t="str">
        <f>IMDIV((_XLL.KOMPLEXE(1,(2*PI()*B54*(rf*1000)*(Cz*0.000000001)))),(_XLL.KOMPLEXE(0,2*PI()*B54*((Cz*0.000000001)+(Cp*0.000000000001))*(RII*1000))))</f>
        <v>2.74027402740275-0.214515984067268i</v>
      </c>
      <c r="J54" s="61" t="str">
        <f>IMDIV(1,(_XLL.KOMPLEXE(1,2*PI()*B54*(((Cz*0.000000001)*(Cp*0.000000000001))/((Cz*0.000000001)+(Cp*0.000000000001)))*(rf*1000))))</f>
        <v>0.425785491483774-0.494461532099005i</v>
      </c>
      <c r="K54" s="61" t="str">
        <f>_XLL.IMPRODUKT(I54,J54)</f>
        <v>1.06069902141627-1.44629788766788i</v>
      </c>
      <c r="L54" s="61" t="str">
        <f>_XLL.IMPRODUKT(G54,K54)</f>
        <v>-0.061089941462945-0.0165082133825169i</v>
      </c>
      <c r="M54" s="56">
        <f>20*LOG(IMABS(L54))</f>
        <v>-23.974514789128985</v>
      </c>
      <c r="N54" s="56">
        <f>(180/PI())*IMARGUMENT(L54)+180</f>
        <v>15.121750839126264</v>
      </c>
      <c r="O54" s="56">
        <f t="shared" si="1"/>
        <v>15.121750839126264</v>
      </c>
    </row>
    <row r="55" spans="1:15" ht="12.75">
      <c r="A55" s="59">
        <f t="shared" si="2"/>
        <v>54</v>
      </c>
      <c r="B55" s="56">
        <f t="shared" si="5"/>
        <v>13500</v>
      </c>
      <c r="C55" s="56">
        <f t="shared" si="4"/>
        <v>1058.40217754644</v>
      </c>
      <c r="D55" s="39" t="str">
        <f>IMDIV((_XLL.KOMPLEXE(1,2*PI()*(B55)*(esrcout*0.001)*(cout*0.000001))),(_XLL.KOMPLEXE(1,2*PI()*(B55)*rload*(cout*0.000001))))</f>
        <v>3.44445207032907e-005-8.73248071748494e-006i</v>
      </c>
      <c r="E55" s="39" t="str">
        <f>IMDIV(1,(_XLL.KOMPLEXE((1-(B55/(fpp*1000))^2),(B55/(fpp*1000)))))</f>
        <v>-0.139353101464065-0.9044552258485i</v>
      </c>
      <c r="F55" s="56" t="str">
        <f>_XLL.IMPRODUKT(D55,E55)</f>
        <v>-1.26980886079973e-005-2.99366284804815e-005i</v>
      </c>
      <c r="G55" s="56" t="str">
        <f>_XLL.IMPRODUKT(C55,F55)</f>
        <v>-0.013439684633382-0.0316849927721404i</v>
      </c>
      <c r="H55" s="60">
        <f>IMABS(G55)</f>
        <v>0.034417493953153445</v>
      </c>
      <c r="I55" s="39" t="str">
        <f>IMDIV((_XLL.KOMPLEXE(1,(2*PI()*B55*(rf*1000)*(Cz*0.000000001)))),(_XLL.KOMPLEXE(0,2*PI()*B55*((Cz*0.000000001)+(Cp*0.000000000001))*(RII*1000))))</f>
        <v>2.74027402740275-0.210543465843801i</v>
      </c>
      <c r="J55" s="61" t="str">
        <f>IMDIV(1,(_XLL.KOMPLEXE(1,2*PI()*B55*(((Cz*0.000000001)*(Cp*0.000000000001))/((Cz*0.000000001)+(Cp*0.000000000001)))*(rf*1000))))</f>
        <v>0.416671677072203-0.493007495478558i</v>
      </c>
      <c r="K55" s="61" t="str">
        <f>_XLL.IMPRODUKT(I55,J55)</f>
        <v>1.03799506785028-1.4387031341845i</v>
      </c>
      <c r="L55" s="61" t="str">
        <f>_XLL.IMPRODUKT(G55,K55)</f>
        <v>-0.0595356247708054-0.0135531498178556i</v>
      </c>
      <c r="M55" s="56">
        <f>20*LOG(IMABS(L55))</f>
        <v>-24.28503303938193</v>
      </c>
      <c r="N55" s="56">
        <f>(180/PI())*IMARGUMENT(L55)+180</f>
        <v>12.824695160209615</v>
      </c>
      <c r="O55" s="56">
        <f t="shared" si="1"/>
        <v>12.824695160209615</v>
      </c>
    </row>
    <row r="56" spans="1:15" ht="12.75">
      <c r="A56" s="59">
        <f t="shared" si="2"/>
        <v>55</v>
      </c>
      <c r="B56" s="56">
        <f t="shared" si="5"/>
        <v>13750.000000000002</v>
      </c>
      <c r="C56" s="56">
        <f t="shared" si="4"/>
        <v>1058.40217754644</v>
      </c>
      <c r="D56" s="39" t="str">
        <f>IMDIV((_XLL.KOMPLEXE(1,2*PI()*(B56)*(esrcout*0.001)*(cout*0.000001))),(_XLL.KOMPLEXE(1,2*PI()*(B56)*rload*(cout*0.000001))))</f>
        <v>3.44445179554513e-005-8.57370834082696e-006i</v>
      </c>
      <c r="E56" s="39" t="str">
        <f>IMDIV(1,(_XLL.KOMPLEXE((1-(B56/(fpp*1000))^2),(B56/(fpp*1000)))))</f>
        <v>-0.167450761502273-0.877123036440475i</v>
      </c>
      <c r="F56" s="56" t="str">
        <f>_XLL.IMPRODUKT(D56,E56)</f>
        <v>-1.32879578546802e-005-2.87764061872441e-005i</v>
      </c>
      <c r="G56" s="56" t="str">
        <f>_XLL.IMPRODUKT(C56,F56)</f>
        <v>-0.0140640035285388-0.03045701097054i</v>
      </c>
      <c r="H56" s="60">
        <f>IMABS(G56)</f>
        <v>0.0335473652096606</v>
      </c>
      <c r="I56" s="39" t="str">
        <f>IMDIV((_XLL.KOMPLEXE(1,(2*PI()*B56*(rf*1000)*(Cz*0.000000001)))),(_XLL.KOMPLEXE(0,2*PI()*B56*((Cz*0.000000001)+(Cp*0.000000000001))*(RII*1000))))</f>
        <v>2.74027402740274-0.206715402828459i</v>
      </c>
      <c r="J56" s="61" t="str">
        <f>IMDIV(1,(_XLL.KOMPLEXE(1,2*PI()*B56*(((Cz*0.000000001)*(Cp*0.000000000001))/((Cz*0.000000001)+(Cp*0.000000000001)))*(rf*1000))))</f>
        <v>0.407780114572581-0.49142190908806i</v>
      </c>
      <c r="K56" s="61" t="str">
        <f>_XLL.IMPRODUKT(I56,J56)</f>
        <v>1.01584477895869-1.43092512461999i</v>
      </c>
      <c r="L56" s="61" t="str">
        <f>_XLL.IMPRODUKT(G56,K56)</f>
        <v>-0.0578685467742951-0.0108150595753802i</v>
      </c>
      <c r="M56" s="56">
        <f>20*LOG(IMABS(L56))</f>
        <v>-24.602047455687554</v>
      </c>
      <c r="N56" s="56">
        <f>(180/PI())*IMARGUMENT(L56)+180</f>
        <v>10.585894690420162</v>
      </c>
      <c r="O56" s="56">
        <f>IF(N56&gt;180,-(360-N56),N56)</f>
        <v>10.585894690420162</v>
      </c>
    </row>
    <row r="57" spans="1:15" ht="12.75">
      <c r="A57" s="59">
        <f t="shared" si="2"/>
        <v>56</v>
      </c>
      <c r="B57" s="56">
        <f t="shared" si="5"/>
        <v>14000.000000000002</v>
      </c>
      <c r="C57" s="56">
        <f t="shared" si="4"/>
        <v>1058.40217754644</v>
      </c>
      <c r="D57" s="39" t="str">
        <f>IMDIV((_XLL.KOMPLEXE(1,2*PI()*(B57)*(esrcout*0.001)*(cout*0.000001))),(_XLL.KOMPLEXE(1,2*PI()*(B57)*rload*(cout*0.000001))))</f>
        <v>3.44445153534992e-005-8.42060640619125e-006i</v>
      </c>
      <c r="E57" s="39" t="str">
        <f>IMDIV(1,(_XLL.KOMPLEXE((1-(B57/(fpp*1000))^2),(B57/(fpp*1000)))))</f>
        <v>-0.192855936857753-0.84905129434231i</v>
      </c>
      <c r="F57" s="56" t="str">
        <f>_XLL.IMPRODUKT(D57,E57)</f>
        <v>-1.37923560464342e-005-2.76211964065057e-005i</v>
      </c>
      <c r="G57" s="56" t="str">
        <f>_XLL.IMPRODUKT(C57,F57)</f>
        <v>-0.0145978596730418-0.0292343344230835i</v>
      </c>
      <c r="H57" s="60">
        <f>IMABS(G57)</f>
        <v>0.03267634949308912</v>
      </c>
      <c r="I57" s="39" t="str">
        <f>IMDIV((_XLL.KOMPLEXE(1,(2*PI()*B57*(rf*1000)*(Cz*0.000000001)))),(_XLL.KOMPLEXE(0,2*PI()*B57*((Cz*0.000000001)+(Cp*0.000000000001))*(RII*1000))))</f>
        <v>2.74027402740274-0.203024056349379i</v>
      </c>
      <c r="J57" s="61" t="str">
        <f>IMDIV(1,(_XLL.KOMPLEXE(1,2*PI()*B57*(((Cz*0.000000001)*(Cp*0.000000000001))/((Cz*0.000000001)+(Cp*0.000000000001)))*(rf*1000))))</f>
        <v>0.399107100714115-0.489714838322965i</v>
      </c>
      <c r="K57" s="61" t="str">
        <f>_XLL.IMPRODUKT(I57,J57)</f>
        <v>0.99423892930809-1.42298119479497i</v>
      </c>
      <c r="L57" s="61" t="str">
        <f>_XLL.IMPRODUKT(G57,K57)</f>
        <v>-0.0561136684979099-0.00829343355684685i</v>
      </c>
      <c r="M57" s="56">
        <f>20*LOG(IMABS(L57))</f>
        <v>-24.924780925800224</v>
      </c>
      <c r="N57" s="56">
        <f>(180/PI())*IMARGUMENT(L57)+180</f>
        <v>8.407282498228994</v>
      </c>
      <c r="O57" s="56">
        <f aca="true" t="shared" si="6" ref="O57:O101">IF(N57&gt;180,-(360-N57),N57)</f>
        <v>8.407282498228994</v>
      </c>
    </row>
    <row r="58" spans="1:15" ht="12.75">
      <c r="A58" s="59">
        <f t="shared" si="2"/>
        <v>57</v>
      </c>
      <c r="B58" s="56">
        <f t="shared" si="5"/>
        <v>14249.999999999998</v>
      </c>
      <c r="C58" s="56">
        <f t="shared" si="4"/>
        <v>1058.40217754644</v>
      </c>
      <c r="D58" s="39" t="str">
        <f>IMDIV((_XLL.KOMPLEXE(1,2*PI()*(B58)*(esrcout*0.001)*(cout*0.000001))),(_XLL.KOMPLEXE(1,2*PI()*(B58)*rload*(cout*0.000001))))</f>
        <v>3.44445128872871e-005-8.27287646926094e-006i</v>
      </c>
      <c r="E58" s="39" t="str">
        <f>IMDIV(1,(_XLL.KOMPLEXE((1-(B58/(fpp*1000))^2),(B58/(fpp*1000)))))</f>
        <v>-0.215638830467112-0.820521584554433i</v>
      </c>
      <c r="F58" s="56" t="str">
        <f>_XLL.IMPRODUKT(D58,E58)</f>
        <v>-1.4215648184405e-005-2.64785128870521e-005i</v>
      </c>
      <c r="G58" s="56" t="str">
        <f>_XLL.IMPRODUKT(C58,F58)</f>
        <v>-0.0150458729936084-0.0280249156978474i</v>
      </c>
      <c r="H58" s="60">
        <f>IMABS(G58)</f>
        <v>0.03180839816795635</v>
      </c>
      <c r="I58" s="39" t="str">
        <f>IMDIV((_XLL.KOMPLEXE(1,(2*PI()*B58*(rf*1000)*(Cz*0.000000001)))),(_XLL.KOMPLEXE(0,2*PI()*B58*((Cz*0.000000001)+(Cp*0.000000000001))*(RII*1000))))</f>
        <v>2.74027402740274-0.19946223079939i</v>
      </c>
      <c r="J58" s="61" t="str">
        <f>IMDIV(1,(_XLL.KOMPLEXE(1,2*PI()*B58*(((Cz*0.000000001)*(Cp*0.000000000001))/((Cz*0.000000001)+(Cp*0.000000000001)))*(rf*1000))))</f>
        <v>0.390648745961362-0.487895791373708i</v>
      </c>
      <c r="K58" s="61" t="str">
        <f>_XLL.IMPRODUKT(I58,J58)</f>
        <v>0.973167829450338-1.41488783550892i</v>
      </c>
      <c r="L58" s="61" t="str">
        <f>_XLL.IMPRODUKT(G58,K58)</f>
        <v>-0.0542942718754226-0.00598472370693415i</v>
      </c>
      <c r="M58" s="56">
        <f>20*LOG(IMABS(L58))</f>
        <v>-25.25247047049755</v>
      </c>
      <c r="N58" s="56">
        <f>(180/PI())*IMARGUMENT(L58)+180</f>
        <v>6.290179058219621</v>
      </c>
      <c r="O58" s="56">
        <f t="shared" si="6"/>
        <v>6.290179058219621</v>
      </c>
    </row>
    <row r="59" spans="1:15" ht="12.75">
      <c r="A59" s="59">
        <f t="shared" si="2"/>
        <v>58</v>
      </c>
      <c r="B59" s="56">
        <f t="shared" si="5"/>
        <v>14499.999999999998</v>
      </c>
      <c r="C59" s="56">
        <f t="shared" si="4"/>
        <v>1058.40217754644</v>
      </c>
      <c r="D59" s="39" t="str">
        <f>IMDIV((_XLL.KOMPLEXE(1,2*PI()*(B59)*(esrcout*0.001)*(cout*0.000001))),(_XLL.KOMPLEXE(1,2*PI()*(B59)*rload*(cout*0.000001))))</f>
        <v>3.44445105475348e-005-8.13024066808582e-006i</v>
      </c>
      <c r="E59" s="39" t="str">
        <f>IMDIV(1,(_XLL.KOMPLEXE((1-(B59/(fpp*1000))^2),(B59/(fpp*1000)))))</f>
        <v>-0.235898099010801-0.791787600846437i</v>
      </c>
      <c r="F59" s="56" t="str">
        <f>_XLL.IMPRODUKT(D59,E59)</f>
        <v>-1.45628183124087e-005-2.53548280506606e-005i</v>
      </c>
      <c r="G59" s="56" t="str">
        <f>_XLL.IMPRODUKT(C59,F59)</f>
        <v>-0.0154133186130665-0.0268356052201347i</v>
      </c>
      <c r="H59" s="60">
        <f>IMABS(G59)</f>
        <v>0.030947053142404743</v>
      </c>
      <c r="I59" s="39" t="str">
        <f>IMDIV((_XLL.KOMPLEXE(1,(2*PI()*B59*(rf*1000)*(Cz*0.000000001)))),(_XLL.KOMPLEXE(0,2*PI()*B59*((Cz*0.000000001)+(Cp*0.000000000001))*(RII*1000))))</f>
        <v>2.74027402740274-0.19602322682009i</v>
      </c>
      <c r="J59" s="61" t="str">
        <f>IMDIV(1,(_XLL.KOMPLEXE(1,2*PI()*B59*(((Cz*0.000000001)*(Cp*0.000000000001))/((Cz*0.000000001)+(Cp*0.000000000001)))*(rf*1000))))</f>
        <v>0.382401007774895-0.48597374108859i</v>
      </c>
      <c r="K59" s="61" t="str">
        <f>_XLL.IMPRODUKT(I59,J59)</f>
        <v>0.952621408780162-1.4066607001881i</v>
      </c>
      <c r="L59" s="61" t="str">
        <f>_XLL.IMPRODUKT(G59,K59)</f>
        <v>-0.052431648520083-0.0038828624977946i</v>
      </c>
      <c r="M59" s="56">
        <f>20*LOG(IMABS(L59))</f>
        <v>-25.584377037514777</v>
      </c>
      <c r="N59" s="56">
        <f>(180/PI())*IMARGUMENT(L59)+180</f>
        <v>4.235347855750376</v>
      </c>
      <c r="O59" s="56">
        <f t="shared" si="6"/>
        <v>4.235347855750376</v>
      </c>
    </row>
    <row r="60" spans="1:15" ht="12.75">
      <c r="A60" s="59">
        <f t="shared" si="2"/>
        <v>59</v>
      </c>
      <c r="B60" s="56">
        <f t="shared" si="5"/>
        <v>14750</v>
      </c>
      <c r="C60" s="56">
        <f t="shared" si="4"/>
        <v>1058.40217754644</v>
      </c>
      <c r="D60" s="39" t="str">
        <f>IMDIV((_XLL.KOMPLEXE(1,2*PI()*(B60)*(esrcout*0.001)*(cout*0.000001))),(_XLL.KOMPLEXE(1,2*PI()*(B60)*rload*(cout*0.000001))))</f>
        <v>3.44445083257415e-005-7.99243997881393e-006i</v>
      </c>
      <c r="E60" s="39" t="str">
        <f>IMDIV(1,(_XLL.KOMPLEXE((1-(B60/(fpp*1000))^2),(B60/(fpp*1000)))))</f>
        <v>-0.253754296104207-0.763073571363313i</v>
      </c>
      <c r="F60" s="56" t="str">
        <f>_XLL.IMPRODUKT(D60,E60)</f>
        <v>-1.48392616833945e-005-2.42555780009979e-005i</v>
      </c>
      <c r="G60" s="56" t="str">
        <f>_XLL.IMPRODUKT(C60,F60)</f>
        <v>-0.0157059068788862-0.0256721565739037i</v>
      </c>
      <c r="H60" s="60">
        <f>IMABS(G60)</f>
        <v>0.03009543377396764</v>
      </c>
      <c r="I60" s="39" t="str">
        <f>IMDIV((_XLL.KOMPLEXE(1,(2*PI()*B60*(rf*1000)*(Cz*0.000000001)))),(_XLL.KOMPLEXE(0,2*PI()*B60*((Cz*0.000000001)+(Cp*0.000000000001))*(RII*1000))))</f>
        <v>2.74027402740273-0.192700799246868i</v>
      </c>
      <c r="J60" s="61" t="str">
        <f>IMDIV(1,(_XLL.KOMPLEXE(1,2*PI()*B60*(((Cz*0.000000001)*(Cp*0.000000000001))/((Cz*0.000000001)+(Cp*0.000000000001)))*(rf*1000))))</f>
        <v>0.374359720679795-0.483957147082612i</v>
      </c>
      <c r="K60" s="61" t="str">
        <f>_XLL.IMPRODUKT(I60,J60)</f>
        <v>0.93258929044053-1.39831461790724i</v>
      </c>
      <c r="L60" s="61" t="str">
        <f>_XLL.IMPRODUKT(G60,K60)</f>
        <v>-0.0505449123623985-0.00197977910709859i</v>
      </c>
      <c r="M60" s="56">
        <f>20*LOG(IMABS(L60))</f>
        <v>-25.919793254537183</v>
      </c>
      <c r="N60" s="56">
        <f>(180/PI())*IMARGUMENT(L60)+180</f>
        <v>2.24305525660742</v>
      </c>
      <c r="O60" s="56">
        <f t="shared" si="6"/>
        <v>2.24305525660742</v>
      </c>
    </row>
    <row r="61" spans="1:15" ht="12.75">
      <c r="A61" s="59">
        <f t="shared" si="2"/>
        <v>60</v>
      </c>
      <c r="B61" s="56">
        <f t="shared" si="5"/>
        <v>15000</v>
      </c>
      <c r="C61" s="56">
        <f t="shared" si="4"/>
        <v>1058.40217754644</v>
      </c>
      <c r="D61" s="39" t="str">
        <f>IMDIV((_XLL.KOMPLEXE(1,2*PI()*(B61)*(esrcout*0.001)*(cout*0.000001))),(_XLL.KOMPLEXE(1,2*PI()*(B61)*rload*(cout*0.000001))))</f>
        <v>3.44445062141097e-005-7.8592326458503e-006i</v>
      </c>
      <c r="E61" s="39" t="str">
        <f>IMDIV(1,(_XLL.KOMPLEXE((1-(B61/(fpp*1000))^2),(B61/(fpp*1000)))))</f>
        <v>-0.269343780607248-0.734573947110676i</v>
      </c>
      <c r="F61" s="56" t="str">
        <f>_XLL.IMPRODUKT(D61,E61)</f>
        <v>-1.50506010707815e-005-2.31852014524715e-005i</v>
      </c>
      <c r="G61" s="56" t="str">
        <f>_XLL.IMPRODUKT(C61,F61)</f>
        <v>-0.0159295889466979-0.0245392677041487i</v>
      </c>
      <c r="H61" s="60">
        <f>IMABS(G61)</f>
        <v>0.02925623802655829</v>
      </c>
      <c r="I61" s="39" t="str">
        <f>IMDIV((_XLL.KOMPLEXE(1,(2*PI()*B61*(rf*1000)*(Cz*0.000000001)))),(_XLL.KOMPLEXE(0,2*PI()*B61*((Cz*0.000000001)+(Cp*0.000000000001))*(RII*1000))))</f>
        <v>2.74027402740273-0.18948911925942i</v>
      </c>
      <c r="J61" s="61" t="str">
        <f>IMDIV(1,(_XLL.KOMPLEXE(1,2*PI()*B61*(((Cz*0.000000001)*(Cp*0.000000000001))/((Cz*0.000000001)+(Cp*0.000000000001)))*(rf*1000))))</f>
        <v>0.366520623364025-0.481853977894623i</v>
      </c>
      <c r="K61" s="61" t="str">
        <f>_XLL.IMPRODUKT(I61,J61)</f>
        <v>0.913060858828996-1.38986361073699i</v>
      </c>
      <c r="L61" s="61" t="str">
        <f>_XLL.IMPRODUKT(G61,K61)</f>
        <v>-0.0486509193805946-0.000265888833971068i</v>
      </c>
      <c r="M61" s="56">
        <f>20*LOG(IMABS(L61))</f>
        <v>-26.258049248081036</v>
      </c>
      <c r="N61" s="56">
        <f>(180/PI())*IMARGUMENT(L61)+180</f>
        <v>0.31313193102869263</v>
      </c>
      <c r="O61" s="56">
        <f t="shared" si="6"/>
        <v>0.31313193102869263</v>
      </c>
    </row>
    <row r="62" spans="1:15" ht="12.75">
      <c r="A62" s="59">
        <f t="shared" si="2"/>
        <v>61</v>
      </c>
      <c r="B62" s="56">
        <f t="shared" si="5"/>
        <v>15250</v>
      </c>
      <c r="C62" s="56">
        <f t="shared" si="4"/>
        <v>1058.40217754644</v>
      </c>
      <c r="D62" s="39" t="str">
        <f>IMDIV((_XLL.KOMPLEXE(1,2*PI()*(B62)*(esrcout*0.001)*(cout*0.000001))),(_XLL.KOMPLEXE(1,2*PI()*(B62)*rload*(cout*0.000001))))</f>
        <v>3.44445042054751e-005-7.73039276642566e-006i</v>
      </c>
      <c r="E62" s="39" t="str">
        <f>IMDIV(1,(_XLL.KOMPLEXE((1-(B62/(fpp*1000))^2),(B62/(fpp*1000)))))</f>
        <v>-0.282813264215408-0.706454099800979i</v>
      </c>
      <c r="F62" s="56" t="str">
        <f>_XLL.IMPRODUKT(D62,E62)</f>
        <v>-1.5202530331545e-005-2.21472035996299e-005i</v>
      </c>
      <c r="G62" s="56" t="str">
        <f>_XLL.IMPRODUKT(C62,F62)</f>
        <v>-0.016090391207123-0.0234406485164126i</v>
      </c>
      <c r="H62" s="60">
        <f>IMABS(G62)</f>
        <v>0.02843175499451727</v>
      </c>
      <c r="I62" s="39" t="str">
        <f>IMDIV((_XLL.KOMPLEXE(1,(2*PI()*B62*(rf*1000)*(Cz*0.000000001)))),(_XLL.KOMPLEXE(0,2*PI()*B62*((Cz*0.000000001)+(Cp*0.000000000001))*(RII*1000))))</f>
        <v>2.74027402740273-0.186382740255168i</v>
      </c>
      <c r="J62" s="61" t="str">
        <f>IMDIV(1,(_XLL.KOMPLEXE(1,2*PI()*B62*(((Cz*0.000000001)*(Cp*0.000000000001))/((Cz*0.000000001)+(Cp*0.000000000001)))*(rf*1000))))</f>
        <v>0.358879383022582-0.479671733025736i</v>
      </c>
      <c r="K62" s="61" t="str">
        <f>_XLL.IMPRODUKT(I62,J62)</f>
        <v>0.894025320242816-1.38132091451851i</v>
      </c>
      <c r="L62" s="61" t="str">
        <f>_XLL.IMPRODUKT(G62,K62)</f>
        <v>-0.0467642751973784+0.00126946060059868i</v>
      </c>
      <c r="M62" s="56">
        <f>20*LOG(IMABS(L62))</f>
        <v>-26.598516700143232</v>
      </c>
      <c r="N62" s="56">
        <f>(180/PI())*IMARGUMENT(L62)+180</f>
        <v>358.4450336047237</v>
      </c>
      <c r="O62" s="56">
        <f t="shared" si="6"/>
        <v>-1.554966395276324</v>
      </c>
    </row>
    <row r="63" spans="1:15" ht="12.75">
      <c r="A63" s="59">
        <f t="shared" si="2"/>
        <v>62</v>
      </c>
      <c r="B63" s="56">
        <f t="shared" si="5"/>
        <v>15500</v>
      </c>
      <c r="C63" s="56">
        <f t="shared" si="4"/>
        <v>1058.40217754644</v>
      </c>
      <c r="D63" s="39" t="str">
        <f>IMDIV((_XLL.KOMPLEXE(1,2*PI()*(B63)*(esrcout*0.001)*(cout*0.000001))),(_XLL.KOMPLEXE(1,2*PI()*(B63)*rload*(cout*0.000001))))</f>
        <v>3.44445022932466e-005-7.60570901214303e-006i</v>
      </c>
      <c r="E63" s="39" t="str">
        <f>IMDIV(1,(_XLL.KOMPLEXE((1-(B63/(fpp*1000))^2),(B63/(fpp*1000)))))</f>
        <v>-0.294315093739357-0.678851778714292i</v>
      </c>
      <c r="F63" s="56" t="str">
        <f>_XLL.IMPRODUKT(D63,E63)</f>
        <v>-1.5300686012519e-005-2.11442366878358e-005i</v>
      </c>
      <c r="G63" s="56" t="str">
        <f>_XLL.IMPRODUKT(C63,F63)</f>
        <v>-0.0161942793936045-0.0223791061529627i</v>
      </c>
      <c r="H63" s="60">
        <f>IMABS(G63)</f>
        <v>0.027623885991722757</v>
      </c>
      <c r="I63" s="39" t="str">
        <f>IMDIV((_XLL.KOMPLEXE(1,(2*PI()*B63*(rf*1000)*(Cz*0.000000001)))),(_XLL.KOMPLEXE(0,2*PI()*B63*((Cz*0.000000001)+(Cp*0.000000000001))*(RII*1000))))</f>
        <v>2.74027402740275-0.183376567025245i</v>
      </c>
      <c r="J63" s="61" t="str">
        <f>IMDIV(1,(_XLL.KOMPLEXE(1,2*PI()*B63*(((Cz*0.000000001)*(Cp*0.000000000001))/((Cz*0.000000001)+(Cp*0.000000000001)))*(rf*1000))))</f>
        <v>0.351431617155455-0.477417464719251i</v>
      </c>
      <c r="K63" s="61" t="str">
        <f>_XLL.IMPRODUKT(I63,J63)</f>
        <v>0.875471757181128-1.37269900229673i</v>
      </c>
      <c r="L63" s="61" t="str">
        <f>_XLL.IMPRODUKT(G63,K63)</f>
        <v>-0.0448974109254656+0.00263759577863814i</v>
      </c>
      <c r="M63" s="56">
        <f>20*LOG(IMABS(L63))</f>
        <v>-26.940611354217026</v>
      </c>
      <c r="N63" s="56">
        <f>(180/PI())*IMARGUMENT(L63)+180</f>
        <v>356.6378994097588</v>
      </c>
      <c r="O63" s="56">
        <f t="shared" si="6"/>
        <v>-3.362100590241198</v>
      </c>
    </row>
    <row r="64" spans="1:15" ht="12.75">
      <c r="A64" s="59">
        <f t="shared" si="2"/>
        <v>63</v>
      </c>
      <c r="B64" s="56">
        <f t="shared" si="5"/>
        <v>15750</v>
      </c>
      <c r="C64" s="56">
        <f t="shared" si="4"/>
        <v>1058.40217754644</v>
      </c>
      <c r="D64" s="39" t="str">
        <f>IMDIV((_XLL.KOMPLEXE(1,2*PI()*(B64)*(esrcout*0.001)*(cout*0.000001))),(_XLL.KOMPLEXE(1,2*PI()*(B64)*rload*(cout*0.000001))))</f>
        <v>3.44445004713518e-005-7.48498347228138e-006i</v>
      </c>
      <c r="E64" s="39" t="str">
        <f>IMDIV(1,(_XLL.KOMPLEXE((1-(B64/(fpp*1000))^2),(B64/(fpp*1000)))))</f>
        <v>-0.304003299211843-0.65187909633581i</v>
      </c>
      <c r="F64" s="56" t="str">
        <f>_XLL.IMPRODUKT(D64,E64)</f>
        <v>-1.53505460449941e-005-2.01781901708835e-005i</v>
      </c>
      <c r="G64" s="56" t="str">
        <f>_XLL.IMPRODUKT(C64,F64)</f>
        <v>-0.0162470513605487-0.0213566404158093i</v>
      </c>
      <c r="H64" s="60">
        <f>IMABS(G64)</f>
        <v>0.026834171642934813</v>
      </c>
      <c r="I64" s="39" t="str">
        <f>IMDIV((_XLL.KOMPLEXE(1,(2*PI()*B64*(rf*1000)*(Cz*0.000000001)))),(_XLL.KOMPLEXE(0,2*PI()*B64*((Cz*0.000000001)+(Cp*0.000000000001))*(RII*1000))))</f>
        <v>2.74027402740275-0.180465827866115i</v>
      </c>
      <c r="J64" s="61" t="str">
        <f>IMDIV(1,(_XLL.KOMPLEXE(1,2*PI()*B64*(((Cz*0.000000001)*(Cp*0.000000000001))/((Cz*0.000000001)+(Cp*0.000000000001)))*(rf*1000))))</f>
        <v>0.344172913018638-0.475097799366512i</v>
      </c>
      <c r="K64" s="61" t="str">
        <f>_XLL.IMPRODUKT(I64,J64)</f>
        <v>0.857389176800473-1.36400960975726i</v>
      </c>
      <c r="L64" s="61" t="str">
        <f>_XLL.IMPRODUKT(G64,K64)</f>
        <v>-0.04306070875075+0.00385018184067374i</v>
      </c>
      <c r="M64" s="56">
        <f>20*LOG(IMABS(L64))</f>
        <v>-27.28379420048565</v>
      </c>
      <c r="N64" s="56">
        <f>(180/PI())*IMARGUMENT(L64)+180</f>
        <v>354.89060658452814</v>
      </c>
      <c r="O64" s="56">
        <f t="shared" si="6"/>
        <v>-5.109393415471857</v>
      </c>
    </row>
    <row r="65" spans="1:15" ht="12.75">
      <c r="A65" s="59">
        <f t="shared" si="2"/>
        <v>64</v>
      </c>
      <c r="B65" s="56">
        <f t="shared" si="5"/>
        <v>16000</v>
      </c>
      <c r="C65" s="56">
        <f t="shared" si="4"/>
        <v>1058.40217754644</v>
      </c>
      <c r="D65" s="39" t="str">
        <f>IMDIV((_XLL.KOMPLEXE(1,2*PI()*(B65)*(esrcout*0.001)*(cout*0.000001))),(_XLL.KOMPLEXE(1,2*PI()*(B65)*rload*(cout*0.000001))))</f>
        <v>3.44444987341894e-005-7.36803060553979e-006i</v>
      </c>
      <c r="E65" s="39" t="str">
        <f>IMDIV(1,(_XLL.KOMPLEXE((1-(B65/(fpp*1000))^2),(B65/(fpp*1000)))))</f>
        <v>-0.312030390352364-0.625624842811758i</v>
      </c>
      <c r="F65" s="56" t="str">
        <f>_XLL.IMPRODUKT(D65,E65)</f>
        <v>-1.53573533749437e-005-1.92502846403323e-005i</v>
      </c>
      <c r="G65" s="56" t="str">
        <f>_XLL.IMPRODUKT(C65,F65)</f>
        <v>-0.0162542562533906-0.0203745431817165i</v>
      </c>
      <c r="H65" s="60">
        <f>IMABS(G65)</f>
        <v>0.02606382274752723</v>
      </c>
      <c r="I65" s="39" t="str">
        <f>IMDIV((_XLL.KOMPLEXE(1,(2*PI()*B65*(rf*1000)*(Cz*0.000000001)))),(_XLL.KOMPLEXE(0,2*PI()*B65*((Cz*0.000000001)+(Cp*0.000000000001))*(RII*1000))))</f>
        <v>2.74027402740274-0.177646049305706i</v>
      </c>
      <c r="J65" s="61" t="str">
        <f>IMDIV(1,(_XLL.KOMPLEXE(1,2*PI()*B65*(((Cz*0.000000001)*(Cp*0.000000000001))/((Cz*0.000000001)+(Cp*0.000000000001)))*(rf*1000))))</f>
        <v>0.337098844917639-0.472718958444478i</v>
      </c>
      <c r="K65" s="61" t="str">
        <f>_XLL.IMPRODUKT(I65,J65)</f>
        <v>0.839766553995701-1.35526376211141i</v>
      </c>
      <c r="L65" s="61" t="str">
        <f>_XLL.IMPRODUKT(G65,K65)</f>
        <v>-0.0412626608054274+0.00491894456334639i</v>
      </c>
      <c r="M65" s="56">
        <f>20*LOG(IMABS(L65))</f>
        <v>-27.62757157129797</v>
      </c>
      <c r="N65" s="56">
        <f>(180/PI())*IMARGUMENT(L65)+180</f>
        <v>353.20182069762757</v>
      </c>
      <c r="O65" s="56">
        <f t="shared" si="6"/>
        <v>-6.798179302372432</v>
      </c>
    </row>
    <row r="66" spans="1:15" ht="12.75">
      <c r="A66" s="59">
        <f t="shared" si="2"/>
        <v>65</v>
      </c>
      <c r="B66" s="56">
        <f t="shared" si="5"/>
        <v>16250</v>
      </c>
      <c r="C66" s="56">
        <f aca="true" t="shared" si="7" ref="C66:C101">ta1*ta2*(rload/RS)</f>
        <v>1058.40217754644</v>
      </c>
      <c r="D66" s="39" t="str">
        <f>IMDIV((_XLL.KOMPLEXE(1,2*PI()*(B66)*(esrcout*0.001)*(cout*0.000001))),(_XLL.KOMPLEXE(1,2*PI()*(B66)*rload*(cout*0.000001))))</f>
        <v>3.44444970765854e-005-7.25467628854352e-006i</v>
      </c>
      <c r="E66" s="39" t="str">
        <f>IMDIV(1,(_XLL.KOMPLEXE((1-(B66/(fpp*1000))^2),(B66/(fpp*1000)))))</f>
        <v>-0.318544850191589-0.60015696412908i</v>
      </c>
      <c r="F66" s="56" t="str">
        <f>_XLL.IMPRODUKT(D66,E66)</f>
        <v>-1.5326061658257e-005-1.83611650249139e-005i</v>
      </c>
      <c r="G66" s="56" t="str">
        <f>_XLL.IMPRODUKT(C66,F66)</f>
        <v>-0.0162211370323102-0.0194334970446584i</v>
      </c>
      <c r="H66" s="60">
        <f>IMABS(G66)</f>
        <v>0.025313753060455742</v>
      </c>
      <c r="I66" s="39" t="str">
        <f>IMDIV((_XLL.KOMPLEXE(1,(2*PI()*B66*(rf*1000)*(Cz*0.000000001)))),(_XLL.KOMPLEXE(0,2*PI()*B66*((Cz*0.000000001)+(Cp*0.000000000001))*(RII*1000))))</f>
        <v>2.74027402740274-0.174913033162542i</v>
      </c>
      <c r="J66" s="61" t="str">
        <f>IMDIV(1,(_XLL.KOMPLEXE(1,2*PI()*B66*(((Cz*0.000000001)*(Cp*0.000000000001))/((Cz*0.000000001)+(Cp*0.000000000001)))*(rf*1000))))</f>
        <v>0.330204989522873-0.470286778909499i</v>
      </c>
      <c r="K66" s="61" t="str">
        <f>_XLL.IMPRODUKT(I66,J66)</f>
        <v>0.822592869553021-1.34647180195945i</v>
      </c>
      <c r="L66" s="61" t="str">
        <f>_XLL.IMPRODUKT(G66,K66)</f>
        <v>-0.0395100474429157+0.00585544751031018i</v>
      </c>
      <c r="M66" s="56">
        <f>20*LOG(IMABS(L66))</f>
        <v>-27.97149436703265</v>
      </c>
      <c r="N66" s="56">
        <f>(180/PI())*IMARGUMENT(L66)+180</f>
        <v>351.57004093092854</v>
      </c>
      <c r="O66" s="56">
        <f t="shared" si="6"/>
        <v>-8.429959069071458</v>
      </c>
    </row>
    <row r="67" spans="1:15" ht="12.75">
      <c r="A67" s="59">
        <f t="shared" si="2"/>
        <v>66</v>
      </c>
      <c r="B67" s="56">
        <f t="shared" si="5"/>
        <v>16500</v>
      </c>
      <c r="C67" s="56">
        <f t="shared" si="7"/>
        <v>1058.40217754644</v>
      </c>
      <c r="D67" s="39" t="str">
        <f>IMDIV((_XLL.KOMPLEXE(1,2*PI()*(B67)*(esrcout*0.001)*(cout*0.000001))),(_XLL.KOMPLEXE(1,2*PI()*(B67)*rload*(cout*0.000001))))</f>
        <v>3.44444954937548e-005-7.14475695084963e-006i</v>
      </c>
      <c r="E67" s="39" t="str">
        <f>IMDIV(1,(_XLL.KOMPLEXE((1-(B67/(fpp*1000))^2),(B67/(fpp*1000)))))</f>
        <v>-0.323689253851623-0.57552507419739i</v>
      </c>
      <c r="F67" s="56" t="str">
        <f>_XLL.IMPRODUKT(D67,E67)</f>
        <v>-1.52612998199291e-005-1.75109897783632e-005i</v>
      </c>
      <c r="G67" s="56" t="str">
        <f>_XLL.IMPRODUKT(C67,F67)</f>
        <v>-0.0161525929616021-0.0185336697124131i</v>
      </c>
      <c r="H67" s="60">
        <f>IMABS(G67)</f>
        <v>0.024584612512545657</v>
      </c>
      <c r="I67" s="39" t="str">
        <f>IMDIV((_XLL.KOMPLEXE(1,(2*PI()*B67*(rf*1000)*(Cz*0.000000001)))),(_XLL.KOMPLEXE(0,2*PI()*B67*((Cz*0.000000001)+(Cp*0.000000000001))*(RII*1000))))</f>
        <v>2.74027402740274-0.172262835690382i</v>
      </c>
      <c r="J67" s="61" t="str">
        <f>IMDIV(1,(_XLL.KOMPLEXE(1,2*PI()*B67*(((Cz*0.000000001)*(Cp*0.000000000001))/((Cz*0.000000001)+(Cp*0.000000000001)))*(rf*1000))))</f>
        <v>0.323486939375834-0.467806732988196i</v>
      </c>
      <c r="K67" s="61" t="str">
        <f>_XLL.IMPRODUKT(I67,J67)</f>
        <v>0.805857143796003-1.33764341773737i</v>
      </c>
      <c r="L67" s="61" t="str">
        <f>_XLL.IMPRODUKT(G67,K67)</f>
        <v>-0.0378081237262639+0.00667091951597432i</v>
      </c>
      <c r="M67" s="56">
        <f>20*LOG(IMABS(L67))</f>
        <v>-28.315156613352492</v>
      </c>
      <c r="N67" s="56">
        <f>(180/PI())*IMARGUMENT(L67)+180</f>
        <v>349.9936402476694</v>
      </c>
      <c r="O67" s="56">
        <f t="shared" si="6"/>
        <v>-10.006359752330582</v>
      </c>
    </row>
    <row r="68" spans="1:15" ht="12.75">
      <c r="A68" s="59">
        <f aca="true" t="shared" si="8" ref="A68:A100">1+A67</f>
        <v>67</v>
      </c>
      <c r="B68" s="56">
        <f aca="true" t="shared" si="9" ref="B68:B99">(fs*1000/2)*(A68/100)</f>
        <v>16750</v>
      </c>
      <c r="C68" s="56">
        <f t="shared" si="7"/>
        <v>1058.40217754644</v>
      </c>
      <c r="D68" s="39" t="str">
        <f>IMDIV((_XLL.KOMPLEXE(1,2*PI()*(B68)*(esrcout*0.001)*(cout*0.000001))),(_XLL.KOMPLEXE(1,2*PI()*(B68)*rload*(cout*0.000001))))</f>
        <v>3.44444939812669e-005-7.03811878741476e-006i</v>
      </c>
      <c r="E68" s="39" t="str">
        <f>IMDIV(1,(_XLL.KOMPLEXE((1-(B68/(fpp*1000))^2),(B68/(fpp*1000)))))</f>
        <v>-0.327598930100435-0.551762903889622i</v>
      </c>
      <c r="F68" s="56" t="str">
        <f>_XLL.IMPRODUKT(D68,E68)</f>
        <v>-1.5167352236178e-005-1.66995138374356e-005i</v>
      </c>
      <c r="G68" s="56" t="str">
        <f>_XLL.IMPRODUKT(C68,F68)</f>
        <v>-0.0160531586343847-0.0176748018095087i</v>
      </c>
      <c r="H68" s="60">
        <f>IMABS(G68)</f>
        <v>0.023876819745228477</v>
      </c>
      <c r="I68" s="39" t="str">
        <f>IMDIV((_XLL.KOMPLEXE(1,(2*PI()*B68*(rf*1000)*(Cz*0.000000001)))),(_XLL.KOMPLEXE(0,2*PI()*B68*((Cz*0.000000001)+(Cp*0.000000000001))*(RII*1000))))</f>
        <v>2.74027402740274-0.169691748590526i</v>
      </c>
      <c r="J68" s="61" t="str">
        <f>IMDIV(1,(_XLL.KOMPLEXE(1,2*PI()*B68*(((Cz*0.000000001)*(Cp*0.000000000001))/((Cz*0.000000001)+(Cp*0.000000000001)))*(rf*1000))))</f>
        <v>0.316940314744458-0.465283947320496i</v>
      </c>
      <c r="K68" s="61" t="str">
        <f>_XLL.IMPRODUKT(I68,J68)</f>
        <v>0.789548466119171-1.3287876724176i</v>
      </c>
      <c r="L68" s="61" t="str">
        <f>_XLL.IMPRODUKT(G68,K68)</f>
        <v>-0.0361608055330456+0.0073761266390766i</v>
      </c>
      <c r="M68" s="56">
        <f>20*LOG(IMABS(L68))</f>
        <v>-28.65819352716199</v>
      </c>
      <c r="N68" s="56">
        <f>(180/PI())*IMARGUMENT(L68)+180</f>
        <v>348.470900494132</v>
      </c>
      <c r="O68" s="56">
        <f t="shared" si="6"/>
        <v>-11.529099505867975</v>
      </c>
    </row>
    <row r="69" spans="1:15" ht="12.75">
      <c r="A69" s="59">
        <f t="shared" si="8"/>
        <v>68</v>
      </c>
      <c r="B69" s="56">
        <f t="shared" si="9"/>
        <v>17000</v>
      </c>
      <c r="C69" s="56">
        <f t="shared" si="7"/>
        <v>1058.40217754644</v>
      </c>
      <c r="D69" s="39" t="str">
        <f>IMDIV((_XLL.KOMPLEXE(1,2*PI()*(B69)*(esrcout*0.001)*(cout*0.000001))),(_XLL.KOMPLEXE(1,2*PI()*(B69)*rload*(cout*0.000001))))</f>
        <v>3.44444925350143e-005-6.934617040551e-006i</v>
      </c>
      <c r="E69" s="39" t="str">
        <f>IMDIV(1,(_XLL.KOMPLEXE((1-(B69/(fpp*1000))^2),(B69/(fpp*1000)))))</f>
        <v>-0.330401080778646-0.528890618948869i</v>
      </c>
      <c r="F69" s="56" t="str">
        <f>_XLL.IMPRODUKT(D69,E69)</f>
        <v>-1.50481514591911e-005-1.59261640112394e-005i</v>
      </c>
      <c r="G69" s="56" t="str">
        <f>_XLL.IMPRODUKT(C69,F69)</f>
        <v>-0.0159269962724565-0.0168562866694575i</v>
      </c>
      <c r="H69" s="60">
        <f>IMABS(G69)</f>
        <v>0.023190593147778136</v>
      </c>
      <c r="I69" s="39" t="str">
        <f>IMDIV((_XLL.KOMPLEXE(1,(2*PI()*B69*(rf*1000)*(Cz*0.000000001)))),(_XLL.KOMPLEXE(0,2*PI()*B69*((Cz*0.000000001)+(Cp*0.000000000001))*(RII*1000))))</f>
        <v>2.74027402740274-0.167196281699489i</v>
      </c>
      <c r="J69" s="61" t="str">
        <f>IMDIV(1,(_XLL.KOMPLEXE(1,2*PI()*B69*(((Cz*0.000000001)*(Cp*0.000000000001))/((Cz*0.000000001)+(Cp*0.000000000001)))*(rf*1000))))</f>
        <v>0.31056077397573-0.462723221422186i</v>
      </c>
      <c r="K69" s="61" t="str">
        <f>_XLL.IMPRODUKT(I69,J69)</f>
        <v>0.773656020777987-1.3199130321898i</v>
      </c>
      <c r="L69" s="61" t="str">
        <f>_XLL.IMPRODUKT(G69,K69)</f>
        <v>-0.0345708490084387+0.00798128227386819i</v>
      </c>
      <c r="M69" s="56">
        <f>20*LOG(IMABS(L69))</f>
        <v>-29.000279243048563</v>
      </c>
      <c r="N69" s="56">
        <f>(180/PI())*IMARGUMENT(L69)+180</f>
        <v>347.00004264499205</v>
      </c>
      <c r="O69" s="56">
        <f t="shared" si="6"/>
        <v>-12.99995735500795</v>
      </c>
    </row>
    <row r="70" spans="1:15" ht="12.75">
      <c r="A70" s="59">
        <f t="shared" si="8"/>
        <v>69</v>
      </c>
      <c r="B70" s="56">
        <f t="shared" si="9"/>
        <v>17250</v>
      </c>
      <c r="C70" s="56">
        <f t="shared" si="7"/>
        <v>1058.40217754644</v>
      </c>
      <c r="D70" s="39" t="str">
        <f>IMDIV((_XLL.KOMPLEXE(1,2*PI()*(B70)*(esrcout*0.001)*(cout*0.000001))),(_XLL.KOMPLEXE(1,2*PI()*(B70)*rload*(cout*0.000001))))</f>
        <v>3.44444911511857e-005-6.8341153443206e-006i</v>
      </c>
      <c r="E70" s="39" t="str">
        <f>IMDIV(1,(_XLL.KOMPLEXE((1-(B70/(fpp*1000))^2),(B70/(fpp*1000)))))</f>
        <v>-0.332214276180469-0.506916962769844i</v>
      </c>
      <c r="F70" s="56" t="str">
        <f>_XLL.IMPRODUKT(D70,E70)</f>
        <v>-1.49072806897575e-005-1.51901061560645e-005i</v>
      </c>
      <c r="G70" s="56" t="str">
        <f>_XLL.IMPRODUKT(C70,F70)</f>
        <v>-0.0157778983433353-0.0160772414327403i</v>
      </c>
      <c r="H70" s="60">
        <f>IMABS(G70)</f>
        <v>0.022525979850369308</v>
      </c>
      <c r="I70" s="39" t="str">
        <f>IMDIV((_XLL.KOMPLEXE(1,(2*PI()*B70*(rf*1000)*(Cz*0.000000001)))),(_XLL.KOMPLEXE(0,2*PI()*B70*((Cz*0.000000001)+(Cp*0.000000000001))*(RII*1000))))</f>
        <v>2.74027402740274-0.164773147182105i</v>
      </c>
      <c r="J70" s="61" t="str">
        <f>IMDIV(1,(_XLL.KOMPLEXE(1,2*PI()*B70*(((Cz*0.000000001)*(Cp*0.000000000001))/((Cz*0.000000001)+(Cp*0.000000000001)))*(rf*1000))))</f>
        <v>0.304344022483315-0.460129045444852i</v>
      </c>
      <c r="K70" s="61" t="str">
        <f>_XLL.IMPRODUKT(I70,J70)</f>
        <v>0.758169109278457-1.31102739489678i</v>
      </c>
      <c r="L70" s="61" t="str">
        <f>_XLL.IMPRODUKT(G70,K70)</f>
        <v>-0.0330400190859447+0.00849598914529368i</v>
      </c>
      <c r="M70" s="56">
        <f>20*LOG(IMABS(L70))</f>
        <v>-29.341124326606153</v>
      </c>
      <c r="N70" s="56">
        <f>(180/PI())*IMARGUMENT(L70)+180</f>
        <v>345.5792525114826</v>
      </c>
      <c r="O70" s="56">
        <f t="shared" si="6"/>
        <v>-14.420747488517407</v>
      </c>
    </row>
    <row r="71" spans="1:15" ht="12.75">
      <c r="A71" s="59">
        <f t="shared" si="8"/>
        <v>70</v>
      </c>
      <c r="B71" s="56">
        <f t="shared" si="9"/>
        <v>17500</v>
      </c>
      <c r="C71" s="56">
        <f t="shared" si="7"/>
        <v>1058.40217754644</v>
      </c>
      <c r="D71" s="39" t="str">
        <f>IMDIV((_XLL.KOMPLEXE(1,2*PI()*(B71)*(esrcout*0.001)*(cout*0.000001))),(_XLL.KOMPLEXE(1,2*PI()*(B71)*rload*(cout*0.000001))))</f>
        <v>3.44444898262394e-005-6.73648512512495e-006i</v>
      </c>
      <c r="E71" s="39" t="str">
        <f>IMDIV(1,(_XLL.KOMPLEXE((1-(B71/(fpp*1000))^2),(B71/(fpp*1000)))))</f>
        <v>-0.333148250971682-0.485841199333704i</v>
      </c>
      <c r="F71" s="56" t="str">
        <f>_XLL.IMPRODUKT(D71,E71)</f>
        <v>-1.47479835537079e-005-1.44903040104856e-005i</v>
      </c>
      <c r="G71" s="56" t="str">
        <f>_XLL.IMPRODUKT(C71,F71)</f>
        <v>-0.0156092979076635-0.0153365693180079i</v>
      </c>
      <c r="H71" s="60">
        <f>IMABS(G71)</f>
        <v>0.021882882342512597</v>
      </c>
      <c r="I71" s="39" t="str">
        <f>IMDIV((_XLL.KOMPLEXE(1,(2*PI()*B71*(rf*1000)*(Cz*0.000000001)))),(_XLL.KOMPLEXE(0,2*PI()*B71*((Cz*0.000000001)+(Cp*0.000000000001))*(RII*1000))))</f>
        <v>2.74027402740274-0.162419245079503i</v>
      </c>
      <c r="J71" s="61" t="str">
        <f>IMDIV(1,(_XLL.KOMPLEXE(1,2*PI()*B71*(((Cz*0.000000001)*(Cp*0.000000000001))/((Cz*0.000000001)+(Cp*0.000000000001)))*(rf*1000))))</f>
        <v>0.298285820498167-0.457505617220054i</v>
      </c>
      <c r="K71" s="61" t="str">
        <f>_XLL.IMPRODUKT(I71,J71)</f>
        <v>0.74307716968513-1.30213811804221i</v>
      </c>
      <c r="L71" s="61" t="str">
        <f>_XLL.IMPRODUKT(G71,K71)</f>
        <v>-0.0315692444189733+0.00892920727994004i</v>
      </c>
      <c r="M71" s="56">
        <f>20*LOG(IMABS(L71))</f>
        <v>-29.68047317715495</v>
      </c>
      <c r="N71" s="56">
        <f>(180/PI())*IMARGUMENT(L71)+180</f>
        <v>344.206702297731</v>
      </c>
      <c r="O71" s="56">
        <f t="shared" si="6"/>
        <v>-15.793297702269001</v>
      </c>
    </row>
    <row r="72" spans="1:15" ht="12.75">
      <c r="A72" s="59">
        <f t="shared" si="8"/>
        <v>71</v>
      </c>
      <c r="B72" s="56">
        <f t="shared" si="9"/>
        <v>17750</v>
      </c>
      <c r="C72" s="56">
        <f t="shared" si="7"/>
        <v>1058.40217754644</v>
      </c>
      <c r="D72" s="39" t="str">
        <f>IMDIV((_XLL.KOMPLEXE(1,2*PI()*(B72)*(esrcout*0.001)*(cout*0.000001))),(_XLL.KOMPLEXE(1,2*PI()*(B72)*rload*(cout*0.000001))))</f>
        <v>3.44444885568815e-005-6.64160505294853e-006i</v>
      </c>
      <c r="E72" s="39" t="str">
        <f>IMDIV(1,(_XLL.KOMPLEXE((1-(B72/(fpp*1000))^2),(B72/(fpp*1000)))))</f>
        <v>-0.333303933678997-0.465654846344132i</v>
      </c>
      <c r="F72" s="56" t="str">
        <f>_XLL.IMPRODUKT(D72,E72)</f>
        <v>-1.4573179109979e-005-1.38255699362668e-005i</v>
      </c>
      <c r="G72" s="56" t="str">
        <f>_XLL.IMPRODUKT(C72,F72)</f>
        <v>-0.0154242845037761-0.0146330133263654i</v>
      </c>
      <c r="H72" s="60">
        <f>IMABS(G72)</f>
        <v>0.02126108255623441</v>
      </c>
      <c r="I72" s="39" t="str">
        <f>IMDIV((_XLL.KOMPLEXE(1,(2*PI()*B72*(rf*1000)*(Cz*0.000000001)))),(_XLL.KOMPLEXE(0,2*PI()*B72*((Cz*0.000000001)+(Cp*0.000000000001))*(RII*1000))))</f>
        <v>2.74027402740274-0.160131650078384i</v>
      </c>
      <c r="J72" s="61" t="str">
        <f>IMDIV(1,(_XLL.KOMPLEXE(1,2*PI()*B72*(((Cz*0.000000001)*(Cp*0.000000000001))/((Cz*0.000000001)+(Cp*0.000000000001)))*(rf*1000))))</f>
        <v>0.292381989700509-0.454856858582214i</v>
      </c>
      <c r="K72" s="61" t="str">
        <f>_XLL.IMPRODUKT(I72,J72)</f>
        <v>0.7283697931424-1.29325204622279i</v>
      </c>
      <c r="L72" s="61" t="str">
        <f>_XLL.IMPRODUKT(G72,K72)</f>
        <v>-0.0301587573401123+0.00928924260645616i</v>
      </c>
      <c r="M72" s="56">
        <f>20*LOG(IMABS(L72))</f>
        <v>-30.018101400788435</v>
      </c>
      <c r="N72" s="56">
        <f>(180/PI())*IMARGUMENT(L72)+180</f>
        <v>342.8805684232425</v>
      </c>
      <c r="O72" s="56">
        <f t="shared" si="6"/>
        <v>-17.119431576757506</v>
      </c>
    </row>
    <row r="73" spans="1:15" ht="12.75">
      <c r="A73" s="59">
        <f t="shared" si="8"/>
        <v>72</v>
      </c>
      <c r="B73" s="56">
        <f t="shared" si="9"/>
        <v>18000</v>
      </c>
      <c r="C73" s="56">
        <f t="shared" si="7"/>
        <v>1058.40217754644</v>
      </c>
      <c r="D73" s="39" t="str">
        <f>IMDIV((_XLL.KOMPLEXE(1,2*PI()*(B73)*(esrcout*0.001)*(cout*0.000001))),(_XLL.KOMPLEXE(1,2*PI()*(B73)*rload*(cout*0.000001))))</f>
        <v>3.44444873400454e-005-6.54936053833221e-006i</v>
      </c>
      <c r="E73" s="39" t="str">
        <f>IMDIV(1,(_XLL.KOMPLEXE((1-(B73/(fpp*1000))^2),(B73/(fpp*1000)))))</f>
        <v>-0.3327736520237-0.446343199435663i</v>
      </c>
      <c r="F73" s="56" t="str">
        <f>_XLL.IMPRODUKT(D73,E73)</f>
        <v>-1.43854803811679e-005-1.31946080575163e-005i</v>
      </c>
      <c r="G73" s="56" t="str">
        <f>_XLL.IMPRODUKT(C73,F73)</f>
        <v>-0.0152256237604797-0.0139652018999471i</v>
      </c>
      <c r="H73" s="60">
        <f>IMABS(G73)</f>
        <v>0.020660263381718304</v>
      </c>
      <c r="I73" s="39" t="str">
        <f>IMDIV((_XLL.KOMPLEXE(1,(2*PI()*B73*(rf*1000)*(Cz*0.000000001)))),(_XLL.KOMPLEXE(0,2*PI()*B73*((Cz*0.000000001)+(Cp*0.000000000001))*(RII*1000))))</f>
        <v>2.74027402740273-0.15790759938285i</v>
      </c>
      <c r="J73" s="61" t="str">
        <f>IMDIV(1,(_XLL.KOMPLEXE(1,2*PI()*B73*(((Cz*0.000000001)*(Cp*0.000000000001))/((Cz*0.000000001)+(Cp*0.000000000001)))*(rf*1000))))</f>
        <v>0.286628418842458-0.452186430971044i</v>
      </c>
      <c r="K73" s="61" t="str">
        <f>_XLL.IMPRODUKT(I73,J73)</f>
        <v>0.714036737881363-1.2843755378682i</v>
      </c>
      <c r="L73" s="61" t="str">
        <f>_XLL.IMPRODUKT(G73,K73)</f>
        <v>-0.0288082184238245+0.00958375149825212i</v>
      </c>
      <c r="M73" s="56">
        <f>20*LOG(IMABS(L73))</f>
        <v>-30.353813215803807</v>
      </c>
      <c r="N73" s="56">
        <f>(180/PI())*IMARGUMENT(L73)+180</f>
        <v>341.5990460369753</v>
      </c>
      <c r="O73" s="56">
        <f t="shared" si="6"/>
        <v>-18.400953963024676</v>
      </c>
    </row>
    <row r="74" spans="1:15" ht="12.75">
      <c r="A74" s="59">
        <f t="shared" si="8"/>
        <v>73</v>
      </c>
      <c r="B74" s="56">
        <f t="shared" si="9"/>
        <v>18250</v>
      </c>
      <c r="C74" s="56">
        <f t="shared" si="7"/>
        <v>1058.40217754644</v>
      </c>
      <c r="D74" s="39" t="str">
        <f>IMDIV((_XLL.KOMPLEXE(1,2*PI()*(B74)*(esrcout*0.001)*(cout*0.000001))),(_XLL.KOMPLEXE(1,2*PI()*(B74)*rload*(cout*0.000001))))</f>
        <v>3.4444486172873e-005-6.45964327069137e-006i</v>
      </c>
      <c r="E74" s="39" t="str">
        <f>IMDIV(1,(_XLL.KOMPLEXE((1-(B74/(fpp*1000))^2),(B74/(fpp*1000)))))</f>
        <v>-0.331641465588464-0.427886655849379i</v>
      </c>
      <c r="F74" s="56" t="str">
        <f>_XLL.IMPRODUKT(D74,E74)</f>
        <v>-1.41872150328893e-005-1.25960504394901e-005i</v>
      </c>
      <c r="G74" s="56" t="str">
        <f>_XLL.IMPRODUKT(C74,F74)</f>
        <v>-0.0150157792841296-0.0133316872136411i</v>
      </c>
      <c r="H74" s="60">
        <f>IMABS(G74)</f>
        <v>0.02008002767607797</v>
      </c>
      <c r="I74" s="39" t="str">
        <f>IMDIV((_XLL.KOMPLEXE(1,(2*PI()*B74*(rf*1000)*(Cz*0.000000001)))),(_XLL.KOMPLEXE(0,2*PI()*B74*((Cz*0.000000001)+(Cp*0.000000000001))*(RII*1000))))</f>
        <v>2.74027402740275-0.155744481583085i</v>
      </c>
      <c r="J74" s="61" t="str">
        <f>IMDIV(1,(_XLL.KOMPLEXE(1,2*PI()*B74*(((Cz*0.000000001)*(Cp*0.000000000001))/((Cz*0.000000001)+(Cp*0.000000000001)))*(rf*1000))))</f>
        <v>0.281021068461987-0.449497750319699i</v>
      </c>
      <c r="K74" s="61" t="str">
        <f>_XLL.IMPRODUKT(I74,J74)</f>
        <v>0.700067940963049-1.27551449119857i</v>
      </c>
      <c r="L74" s="61" t="str">
        <f>_XLL.IMPRODUKT(G74,K74)</f>
        <v>-0.0275168259185221+0.00981975725632946i</v>
      </c>
      <c r="M74" s="56">
        <f>20*LOG(IMABS(L74))</f>
        <v>-30.687438936498978</v>
      </c>
      <c r="N74" s="56">
        <f>(180/PI())*IMARGUMENT(L74)+180</f>
        <v>340.3603606378955</v>
      </c>
      <c r="O74" s="56">
        <f t="shared" si="6"/>
        <v>-19.639639362104504</v>
      </c>
    </row>
    <row r="75" spans="1:15" ht="12.75">
      <c r="A75" s="59">
        <f t="shared" si="8"/>
        <v>74</v>
      </c>
      <c r="B75" s="56">
        <f t="shared" si="9"/>
        <v>18500</v>
      </c>
      <c r="C75" s="56">
        <f t="shared" si="7"/>
        <v>1058.40217754644</v>
      </c>
      <c r="D75" s="39" t="str">
        <f>IMDIV((_XLL.KOMPLEXE(1,2*PI()*(B75)*(esrcout*0.001)*(cout*0.000001))),(_XLL.KOMPLEXE(1,2*PI()*(B75)*rload*(cout*0.000001))))</f>
        <v>3.44444850526979e-005-6.37235079406755e-006i</v>
      </c>
      <c r="E75" s="39" t="str">
        <f>IMDIV(1,(_XLL.KOMPLEXE((1-(B75/(fpp*1000))^2),(B75/(fpp*1000)))))</f>
        <v>-0.329983585977756-0.410261850846i</v>
      </c>
      <c r="F75" s="56" t="str">
        <f>_XLL.IMPRODUKT(D75,E75)</f>
        <v>-1.39804471258606e-005-1.20284870230226e-005i</v>
      </c>
      <c r="G75" s="56" t="str">
        <f>_XLL.IMPRODUKT(C75,F75)</f>
        <v>-0.0147969356810837-0.0127309768577562i</v>
      </c>
      <c r="H75" s="60">
        <f>IMABS(G75)</f>
        <v>0.019519914889744066</v>
      </c>
      <c r="I75" s="39" t="str">
        <f>IMDIV((_XLL.KOMPLEXE(1,(2*PI()*B75*(rf*1000)*(Cz*0.000000001)))),(_XLL.KOMPLEXE(0,2*PI()*B75*((Cz*0.000000001)+(Cp*0.000000000001))*(RII*1000))))</f>
        <v>2.74027402740275-0.153639826426557i</v>
      </c>
      <c r="J75" s="61" t="str">
        <f>IMDIV(1,(_XLL.KOMPLEXE(1,2*PI()*B75*(((Cz*0.000000001)*(Cp*0.000000000001))/((Cz*0.000000001)+(Cp*0.000000000001)))*(rf*1000))))</f>
        <v>0.275555974780616-0.446794001239185i</v>
      </c>
      <c r="K75" s="61" t="str">
        <f>_XLL.IMPRODUKT(I75,J75)</f>
        <v>0.686453527988154-1.26667436933119i</v>
      </c>
      <c r="L75" s="61" t="str">
        <f>_XLL.IMPRODUKT(G75,K75)</f>
        <v>-0.026283410783962+0.0100036751931286i</v>
      </c>
      <c r="M75" s="56">
        <f>20*LOG(IMABS(L75))</f>
        <v>-31.018832567967877</v>
      </c>
      <c r="N75" s="56">
        <f>(180/PI())*IMARGUMENT(L75)+180</f>
        <v>339.16277719426614</v>
      </c>
      <c r="O75" s="56">
        <f t="shared" si="6"/>
        <v>-20.83722280573386</v>
      </c>
    </row>
    <row r="76" spans="1:15" ht="12.75">
      <c r="A76" s="59">
        <f t="shared" si="8"/>
        <v>75</v>
      </c>
      <c r="B76" s="56">
        <f t="shared" si="9"/>
        <v>18750</v>
      </c>
      <c r="C76" s="56">
        <f t="shared" si="7"/>
        <v>1058.40217754644</v>
      </c>
      <c r="D76" s="39" t="str">
        <f>IMDIV((_XLL.KOMPLEXE(1,2*PI()*(B76)*(esrcout*0.001)*(cout*0.000001))),(_XLL.KOMPLEXE(1,2*PI()*(B76)*rload*(cout*0.000001))))</f>
        <v>3.44444839770304e-005-6.28738611682009e-006i</v>
      </c>
      <c r="E76" s="39" t="str">
        <f>IMDIV(1,(_XLL.KOMPLEXE((1-(B76/(fpp*1000))^2),(B76/(fpp*1000)))))</f>
        <v>-0.327868852459016-0.39344262295082i</v>
      </c>
      <c r="F76" s="56" t="str">
        <f>_XLL.IMPRODUKT(D76,E76)</f>
        <v>-1.37669991203982e-005-1.14904900510218e-005i</v>
      </c>
      <c r="G76" s="56" t="str">
        <f>_XLL.IMPRODUKT(C76,F76)</f>
        <v>-0.0145710218473094-0.0121615596910772i</v>
      </c>
      <c r="H76" s="60">
        <f>IMABS(G76)</f>
        <v>0.01897941547557252</v>
      </c>
      <c r="I76" s="39" t="str">
        <f>IMDIV((_XLL.KOMPLEXE(1,(2*PI()*B76*(rf*1000)*(Cz*0.000000001)))),(_XLL.KOMPLEXE(0,2*PI()*B76*((Cz*0.000000001)+(Cp*0.000000000001))*(RII*1000))))</f>
        <v>2.74027402740275-0.151591295407536i</v>
      </c>
      <c r="J76" s="61" t="str">
        <f>IMDIV(1,(_XLL.KOMPLEXE(1,2*PI()*B76*(((Cz*0.000000001)*(Cp*0.000000000001))/((Cz*0.000000001)+(Cp*0.000000000001)))*(rf*1000))))</f>
        <v>0.270229252869649-0.444078150513128i</v>
      </c>
      <c r="K76" s="61" t="str">
        <f>_XLL.IMPRODUKT(I76,J76)</f>
        <v>0.673183820984682-1.25786022448769i</v>
      </c>
      <c r="L76" s="61" t="str">
        <f>_XLL.IMPRODUKT(G76,K76)</f>
        <v>-0.0251065183659618+0.010141343589899i</v>
      </c>
      <c r="M76" s="56">
        <f>20*LOG(IMABS(L76))</f>
        <v>-31.347869533663363</v>
      </c>
      <c r="N76" s="56">
        <f>(180/PI())*IMARGUMENT(L76)+180</f>
        <v>338.00460712379277</v>
      </c>
      <c r="O76" s="56">
        <f t="shared" si="6"/>
        <v>-21.995392876207234</v>
      </c>
    </row>
    <row r="77" spans="1:15" ht="12.75">
      <c r="A77" s="59">
        <f t="shared" si="8"/>
        <v>76</v>
      </c>
      <c r="B77" s="56">
        <f t="shared" si="9"/>
        <v>19000</v>
      </c>
      <c r="C77" s="56">
        <f t="shared" si="7"/>
        <v>1058.40217754644</v>
      </c>
      <c r="D77" s="39" t="str">
        <f>IMDIV((_XLL.KOMPLEXE(1,2*PI()*(B77)*(esrcout*0.001)*(cout*0.000001))),(_XLL.KOMPLEXE(1,2*PI()*(B77)*rload*(cout*0.000001))))</f>
        <v>3.44444829435434e-005-6.2046573521315e-006i</v>
      </c>
      <c r="E77" s="39" t="str">
        <f>IMDIV(1,(_XLL.KOMPLEXE((1-(B77/(fpp*1000))^2),(B77/(fpp*1000)))))</f>
        <v>-0.325359237914116-0.377400825419304i</v>
      </c>
      <c r="F77" s="56" t="str">
        <f>_XLL.IMPRODUKT(D77,E77)</f>
        <v>-1.35484735269954e-005-1.09806337064267e-005i</v>
      </c>
      <c r="G77" s="56" t="str">
        <f>_XLL.IMPRODUKT(C77,F77)</f>
        <v>-0.0143397338834022-0.0116219266257219i</v>
      </c>
      <c r="H77" s="60">
        <f>IMABS(G77)</f>
        <v>0.018457983268506256</v>
      </c>
      <c r="I77" s="39" t="str">
        <f>IMDIV((_XLL.KOMPLEXE(1,(2*PI()*B77*(rf*1000)*(Cz*0.000000001)))),(_XLL.KOMPLEXE(0,2*PI()*B77*((Cz*0.000000001)+(Cp*0.000000000001))*(RII*1000))))</f>
        <v>2.74027402740274-0.149596673099542i</v>
      </c>
      <c r="J77" s="61" t="str">
        <f>IMDIV(1,(_XLL.KOMPLEXE(1,2*PI()*B77*(((Cz*0.000000001)*(Cp*0.000000000001))/((Cz*0.000000001)+(Cp*0.000000000001)))*(rf*1000))))</f>
        <v>0.26503709916248-0.441352959919856i</v>
      </c>
      <c r="K77" s="61" t="str">
        <f>_XLL.IMPRODUKT(I77,J77)</f>
        <v>0.660249344666462-1.24907672126836i</v>
      </c>
      <c r="L77" s="61" t="str">
        <f>_XLL.IMPRODUKT(G77,K77)</f>
        <v>-0.0239844779036859+0.0102380583445462i</v>
      </c>
      <c r="M77" s="56">
        <f>20*LOG(IMABS(L77))</f>
        <v>-31.67444454886349</v>
      </c>
      <c r="N77" s="56">
        <f>(180/PI())*IMARGUMENT(L77)+180</f>
        <v>336.8842134626992</v>
      </c>
      <c r="O77" s="56">
        <f t="shared" si="6"/>
        <v>-23.115786537300778</v>
      </c>
    </row>
    <row r="78" spans="1:15" ht="12.75">
      <c r="A78" s="59">
        <f t="shared" si="8"/>
        <v>77</v>
      </c>
      <c r="B78" s="56">
        <f t="shared" si="9"/>
        <v>19250</v>
      </c>
      <c r="C78" s="56">
        <f t="shared" si="7"/>
        <v>1058.40217754644</v>
      </c>
      <c r="D78" s="39" t="str">
        <f>IMDIV((_XLL.KOMPLEXE(1,2*PI()*(B78)*(esrcout*0.001)*(cout*0.000001))),(_XLL.KOMPLEXE(1,2*PI()*(B78)*rload*(cout*0.000001))))</f>
        <v>3.44444819500603e-005-6.12407738652549e-006i</v>
      </c>
      <c r="E78" s="39" t="str">
        <f>IMDIV(1,(_XLL.KOMPLEXE((1-(B78/(fpp*1000))^2),(B78/(fpp*1000)))))</f>
        <v>-0.322510365759674-0.362107001509112i</v>
      </c>
      <c r="F78" s="56" t="str">
        <f>_XLL.IMPRODUKT(D78,E78)</f>
        <v>-1.33262737715609e-005-1.04975096396022e-005i</v>
      </c>
      <c r="G78" s="56" t="str">
        <f>_XLL.IMPRODUKT(C78,F78)</f>
        <v>-0.0141045571784001-0.0111105870613697i</v>
      </c>
      <c r="H78" s="60">
        <f>IMABS(G78)</f>
        <v>0.017955046032996788</v>
      </c>
      <c r="I78" s="39" t="str">
        <f>IMDIV((_XLL.KOMPLEXE(1,(2*PI()*B78*(rf*1000)*(Cz*0.000000001)))),(_XLL.KOMPLEXE(0,2*PI()*B78*((Cz*0.000000001)+(Cp*0.000000000001))*(RII*1000))))</f>
        <v>2.74027402740274-0.147653859163185i</v>
      </c>
      <c r="J78" s="61" t="str">
        <f>IMDIV(1,(_XLL.KOMPLEXE(1,2*PI()*B78*(((Cz*0.000000001)*(Cp*0.000000000001))/((Cz*0.000000001)+(Cp*0.000000000001)))*(rf*1000))))</f>
        <v>0.259975793383794-0.438620998400966i</v>
      </c>
      <c r="K78" s="61" t="str">
        <f>_XLL.IMPRODUKT(I78,J78)</f>
        <v>0.64764083123912-1.24032815897375i</v>
      </c>
      <c r="L78" s="61" t="str">
        <f>_XLL.IMPRODUKT(G78,K78)</f>
        <v>-0.022915461130225+0.0102986095982449i</v>
      </c>
      <c r="M78" s="56">
        <f>20*LOG(IMABS(L78))</f>
        <v>-31.99846964644933</v>
      </c>
      <c r="N78" s="56">
        <f>(180/PI())*IMARGUMENT(L78)+180</f>
        <v>335.80001451641215</v>
      </c>
      <c r="O78" s="56">
        <f t="shared" si="6"/>
        <v>-24.199985483587852</v>
      </c>
    </row>
    <row r="79" spans="1:15" ht="12.75">
      <c r="A79" s="59">
        <f t="shared" si="8"/>
        <v>78</v>
      </c>
      <c r="B79" s="56">
        <f t="shared" si="9"/>
        <v>19500</v>
      </c>
      <c r="C79" s="56">
        <f t="shared" si="7"/>
        <v>1058.40217754644</v>
      </c>
      <c r="D79" s="39" t="str">
        <f>IMDIV((_XLL.KOMPLEXE(1,2*PI()*(B79)*(esrcout*0.001)*(cout*0.000001))),(_XLL.KOMPLEXE(1,2*PI()*(B79)*rload*(cout*0.000001))))</f>
        <v>3.44444809945422e-005-6.04556357388347e-006i</v>
      </c>
      <c r="E79" s="39" t="str">
        <f>IMDIV(1,(_XLL.KOMPLEXE((1-(B79/(fpp*1000))^2),(B79/(fpp*1000)))))</f>
        <v>-0.319372023352939-0.34753094059053i</v>
      </c>
      <c r="F79" s="56" t="str">
        <f>_XLL.IMPRODUKT(D79,E79)</f>
        <v>-1.31016239838004e-005-1.00397390072859e-005i</v>
      </c>
      <c r="G79" s="56" t="str">
        <f>_XLL.IMPRODUKT(C79,F79)</f>
        <v>-0.013866787353849-0.0106260816273093i</v>
      </c>
      <c r="H79" s="60">
        <f>IMABS(G79)</f>
        <v>0.017470014375125936</v>
      </c>
      <c r="I79" s="39" t="str">
        <f>IMDIV((_XLL.KOMPLEXE(1,(2*PI()*B79*(rf*1000)*(Cz*0.000000001)))),(_XLL.KOMPLEXE(0,2*PI()*B79*((Cz*0.000000001)+(Cp*0.000000000001))*(RII*1000))))</f>
        <v>2.74027402740274-0.145760860968785i</v>
      </c>
      <c r="J79" s="61" t="str">
        <f>IMDIV(1,(_XLL.KOMPLEXE(1,2*PI()*B79*(((Cz*0.000000001)*(Cp*0.000000000001))/((Cz*0.000000001)+(Cp*0.000000000001)))*(rf*1000))))</f>
        <v>0.255041699960214-0.435884653597277i</v>
      </c>
      <c r="K79" s="61" t="str">
        <f>_XLL.IMPRODUKT(I79,J79)</f>
        <v>0.635349223914197-1.2316184929652i</v>
      </c>
      <c r="L79" s="61" t="str">
        <f>_XLL.IMPRODUKT(G79,K79)</f>
        <v>-0.0218975312234031+0.0103273190278565i</v>
      </c>
      <c r="M79" s="56">
        <f>20*LOG(IMABS(L79))</f>
        <v>-32.31987235629355</v>
      </c>
      <c r="N79" s="56">
        <f>(180/PI())*IMARGUMENT(L79)+180</f>
        <v>334.750486249571</v>
      </c>
      <c r="O79" s="56">
        <f t="shared" si="6"/>
        <v>-25.249513750429003</v>
      </c>
    </row>
    <row r="80" spans="1:15" ht="12.75">
      <c r="A80" s="59">
        <f t="shared" si="8"/>
        <v>79</v>
      </c>
      <c r="B80" s="56">
        <f t="shared" si="9"/>
        <v>19750</v>
      </c>
      <c r="C80" s="56">
        <f t="shared" si="7"/>
        <v>1058.40217754644</v>
      </c>
      <c r="D80" s="39" t="str">
        <f>IMDIV((_XLL.KOMPLEXE(1,2*PI()*(B80)*(esrcout*0.001)*(cout*0.000001))),(_XLL.KOMPLEXE(1,2*PI()*(B80)*rload*(cout*0.000001))))</f>
        <v>3.44444800750798e-005-5.96903745270057e-006i</v>
      </c>
      <c r="E80" s="39" t="str">
        <f>IMDIV(1,(_XLL.KOMPLEXE((1-(B80/(fpp*1000))^2),(B80/(fpp*1000)))))</f>
        <v>-0.315988661370671-0.333642131091727i</v>
      </c>
      <c r="F80" s="56" t="str">
        <f>_XLL.IMPRODUKT(D80,E80)</f>
        <v>-1.28755875268186e-005-9.6059815822459e-006i</v>
      </c>
      <c r="G80" s="56" t="str">
        <f>_XLL.IMPRODUKT(C80,F80)</f>
        <v>-0.0136275498755746-0.0101669918241201i</v>
      </c>
      <c r="H80" s="60">
        <f>IMABS(G80)</f>
        <v>0.017002289209485832</v>
      </c>
      <c r="I80" s="39" t="str">
        <f>IMDIV((_XLL.KOMPLEXE(1,(2*PI()*B80*(rf*1000)*(Cz*0.000000001)))),(_XLL.KOMPLEXE(0,2*PI()*B80*((Cz*0.000000001)+(Cp*0.000000000001))*(RII*1000))))</f>
        <v>2.74027402740274-0.143915786779307i</v>
      </c>
      <c r="J80" s="61" t="str">
        <f>IMDIV(1,(_XLL.KOMPLEXE(1,2*PI()*B80*(((Cz*0.000000001)*(Cp*0.000000000001))/((Cz*0.000000001)+(Cp*0.000000000001)))*(rf*1000))))</f>
        <v>0.250231268971115-0.433146142774261i</v>
      </c>
      <c r="K80" s="61" t="str">
        <f>_XLL.IMPRODUKT(I80,J80)</f>
        <v>0.623365679277796-1.22295135506475i</v>
      </c>
      <c r="L80" s="61" t="str">
        <f>_XLL.IMPRODUKT(G80,K80)</f>
        <v>-0.0209286833133195+0.010328076821892i</v>
      </c>
      <c r="M80" s="56">
        <f>20*LOG(IMABS(L80))</f>
        <v>-32.63859403577685</v>
      </c>
      <c r="N80" s="56">
        <f>(180/PI())*IMARGUMENT(L80)+180</f>
        <v>333.7341636398162</v>
      </c>
      <c r="O80" s="56">
        <f t="shared" si="6"/>
        <v>-26.265836360183812</v>
      </c>
    </row>
    <row r="81" spans="1:15" ht="12.75">
      <c r="A81" s="59">
        <f t="shared" si="8"/>
        <v>80</v>
      </c>
      <c r="B81" s="56">
        <f t="shared" si="9"/>
        <v>20000</v>
      </c>
      <c r="C81" s="56">
        <f t="shared" si="7"/>
        <v>1058.40217754644</v>
      </c>
      <c r="D81" s="39" t="str">
        <f>IMDIV((_XLL.KOMPLEXE(1,2*PI()*(B81)*(esrcout*0.001)*(cout*0.000001))),(_XLL.KOMPLEXE(1,2*PI()*(B81)*rload*(cout*0.000001))))</f>
        <v>3.44444791898812e-005-5.89442448454703e-006i</v>
      </c>
      <c r="E81" s="39" t="str">
        <f>IMDIV(1,(_XLL.KOMPLEXE((1-(B81/(fpp*1000))^2),(B81/(fpp*1000)))))</f>
        <v>-0.31239987183595-0.320410124959949i</v>
      </c>
      <c r="F81" s="56" t="str">
        <f>_XLL.IMPRODUKT(D81,E81)</f>
        <v>-1.26490841700356e-005-9.19494242789103e-006i</v>
      </c>
      <c r="G81" s="56" t="str">
        <f>_XLL.IMPRODUKT(C81,F81)</f>
        <v>-0.0133878182295339-0.00973194708809402i</v>
      </c>
      <c r="H81" s="60">
        <f>IMABS(G81)</f>
        <v>0.016551267959661036</v>
      </c>
      <c r="I81" s="39" t="str">
        <f>IMDIV((_XLL.KOMPLEXE(1,(2*PI()*B81*(rf*1000)*(Cz*0.000000001)))),(_XLL.KOMPLEXE(0,2*PI()*B81*((Cz*0.000000001)+(Cp*0.000000000001))*(RII*1000))))</f>
        <v>2.74027402740274-0.142116839444565i</v>
      </c>
      <c r="J81" s="61" t="str">
        <f>IMDIV(1,(_XLL.KOMPLEXE(1,2*PI()*B81*(((Cz*0.000000001)*(Cp*0.000000000001))/((Cz*0.000000001)+(Cp*0.000000000001)))*(rf*1000))))</f>
        <v>0.245541036692956-0.430407523159975i</v>
      </c>
      <c r="K81" s="61" t="str">
        <f>_XLL.IMPRODUKT(I81,J81)</f>
        <v>0.611681568646592-1.21433007300277i</v>
      </c>
      <c r="L81" s="61" t="str">
        <f>_XLL.IMPRODUKT(G81,K81)</f>
        <v>-0.020006877673341+0.0103043776271867i</v>
      </c>
      <c r="M81" s="56">
        <f>20*LOG(IMABS(L81))</f>
        <v>-32.95458834625494</v>
      </c>
      <c r="N81" s="56">
        <f>(180/PI())*IMARGUMENT(L81)+180</f>
        <v>332.7496411889308</v>
      </c>
      <c r="O81" s="56">
        <f t="shared" si="6"/>
        <v>-27.25035881106919</v>
      </c>
    </row>
    <row r="82" spans="1:15" ht="12.75">
      <c r="A82" s="59">
        <f t="shared" si="8"/>
        <v>81</v>
      </c>
      <c r="B82" s="56">
        <f t="shared" si="9"/>
        <v>20250</v>
      </c>
      <c r="C82" s="56">
        <f t="shared" si="7"/>
        <v>1058.40217754644</v>
      </c>
      <c r="D82" s="39" t="str">
        <f>IMDIV((_XLL.KOMPLEXE(1,2*PI()*(B82)*(esrcout*0.001)*(cout*0.000001))),(_XLL.KOMPLEXE(1,2*PI()*(B82)*rload*(cout*0.000001))))</f>
        <v>3.4444478337265e-005-5.82165381190327e-006i</v>
      </c>
      <c r="E82" s="39" t="str">
        <f>IMDIV(1,(_XLL.KOMPLEXE((1-(B82/(fpp*1000))^2),(B82/(fpp*1000)))))</f>
        <v>-0.308640839982196-0.307804826872173i</v>
      </c>
      <c r="F82" s="56" t="str">
        <f>_XLL.IMPRODUKT(D82,E82)</f>
        <v>-1.24229058704446e-005-8.80537656871279e-006i</v>
      </c>
      <c r="G82" s="56" t="str">
        <f>_XLL.IMPRODUKT(C82,F82)</f>
        <v>-0.013148430624733-0.00931962973444202i</v>
      </c>
      <c r="H82" s="60">
        <f>IMABS(G82)</f>
        <v>0.016116349657429023</v>
      </c>
      <c r="I82" s="39" t="str">
        <f>IMDIV((_XLL.KOMPLEXE(1,(2*PI()*B82*(rf*1000)*(Cz*0.000000001)))),(_XLL.KOMPLEXE(0,2*PI()*B82*((Cz*0.000000001)+(Cp*0.000000000001))*(RII*1000))))</f>
        <v>2.74027402740274-0.140362310562534i</v>
      </c>
      <c r="J82" s="61" t="str">
        <f>IMDIV(1,(_XLL.KOMPLEXE(1,2*PI()*B82*(((Cz*0.000000001)*(Cp*0.000000000001))/((Cz*0.000000001)+(Cp*0.000000000001)))*(rf*1000))))</f>
        <v>0.24096762578551-0.427670701718979i</v>
      </c>
      <c r="K82" s="61" t="str">
        <f>_XLL.IMPRODUKT(I82,J82)</f>
        <v>0.60028847853176-1.20575768892765i</v>
      </c>
      <c r="L82" s="61" t="str">
        <f>_XLL.IMPRODUKT(G82,K82)</f>
        <v>-0.0191300666250636+0.010259354969336i</v>
      </c>
      <c r="M82" s="56">
        <f>20*LOG(IMABS(L82))</f>
        <v>-33.267819868452754</v>
      </c>
      <c r="N82" s="56">
        <f>(180/PI())*IMARGUMENT(L82)+180</f>
        <v>331.7955727568468</v>
      </c>
      <c r="O82" s="56">
        <f t="shared" si="6"/>
        <v>-28.20442724315319</v>
      </c>
    </row>
    <row r="83" spans="1:15" ht="12.75">
      <c r="A83" s="59">
        <f t="shared" si="8"/>
        <v>82</v>
      </c>
      <c r="B83" s="56">
        <f t="shared" si="9"/>
        <v>20500</v>
      </c>
      <c r="C83" s="56">
        <f t="shared" si="7"/>
        <v>1058.40217754644</v>
      </c>
      <c r="D83" s="39" t="str">
        <f>IMDIV((_XLL.KOMPLEXE(1,2*PI()*(B83)*(esrcout*0.001)*(cout*0.000001))),(_XLL.KOMPLEXE(1,2*PI()*(B83)*rload*(cout*0.000001))))</f>
        <v>3.44444775156514e-005-5.75065803371406e-006i</v>
      </c>
      <c r="E83" s="39" t="str">
        <f>IMDIV(1,(_XLL.KOMPLEXE((1-(B83/(fpp*1000))^2),(B83/(fpp*1000)))))</f>
        <v>-0.304742767092029-0.295796719952017i</v>
      </c>
      <c r="F83" s="56" t="str">
        <f>_XLL.IMPRODUKT(D83,E83)</f>
        <v>-1.21977311730971e-005-8.43609202779666e-006i</v>
      </c>
      <c r="G83" s="56" t="str">
        <f>_XLL.IMPRODUKT(C83,F83)</f>
        <v>-0.0129101052347321-0.00892877817220215i</v>
      </c>
      <c r="H83" s="60">
        <f>IMABS(G83)</f>
        <v>0.015696939090798907</v>
      </c>
      <c r="I83" s="39" t="str">
        <f>IMDIV((_XLL.KOMPLEXE(1,(2*PI()*B83*(rf*1000)*(Cz*0.000000001)))),(_XLL.KOMPLEXE(0,2*PI()*B83*((Cz*0.000000001)+(Cp*0.000000000001))*(RII*1000))))</f>
        <v>2.74027402740274-0.138650575067869i</v>
      </c>
      <c r="J83" s="61" t="str">
        <f>IMDIV(1,(_XLL.KOMPLEXE(1,2*PI()*B83*(((Cz*0.000000001)*(Cp*0.000000000001))/((Cz*0.000000001)+(Cp*0.000000000001)))*(rf*1000))))</f>
        <v>0.236507745163795-0.424937444386032i</v>
      </c>
      <c r="K83" s="61" t="str">
        <f>_XLL.IMPRODUKT(I83,J83)</f>
        <v>0.58917821031994-1.1972369769969i</v>
      </c>
      <c r="L83" s="61" t="str">
        <f>_XLL.IMPRODUKT(G83,K83)</f>
        <v>-0.0182962160844048+0.0101958138201007i</v>
      </c>
      <c r="M83" s="56">
        <f>20*LOG(IMABS(L83))</f>
        <v>-33.5782628486013</v>
      </c>
      <c r="N83" s="56">
        <f>(180/PI())*IMARGUMENT(L83)+180</f>
        <v>330.87067085890715</v>
      </c>
      <c r="O83" s="56">
        <f t="shared" si="6"/>
        <v>-29.129329141092853</v>
      </c>
    </row>
    <row r="84" spans="1:18" ht="12.75">
      <c r="A84" s="59">
        <f t="shared" si="8"/>
        <v>83</v>
      </c>
      <c r="B84" s="56">
        <f t="shared" si="9"/>
        <v>20750</v>
      </c>
      <c r="C84" s="56">
        <f t="shared" si="7"/>
        <v>1058.40217754644</v>
      </c>
      <c r="D84" s="39" t="str">
        <f>IMDIV((_XLL.KOMPLEXE(1,2*PI()*(B84)*(esrcout*0.001)*(cout*0.000001))),(_XLL.KOMPLEXE(1,2*PI()*(B84)*rload*(cout*0.000001))))</f>
        <v>3.44444767235554e-005-5.68137299716779e-006i</v>
      </c>
      <c r="E84" s="39" t="str">
        <f>IMDIV(1,(_XLL.KOMPLEXE((1-(B84/(fpp*1000))^2),(B84/(fpp*1000)))))</f>
        <v>-0.300733262929728-0.284357038313596i</v>
      </c>
      <c r="F84" s="56" t="str">
        <f>_XLL.IMPRODUKT(D84,E84)</f>
        <v>-1.19741382740114e-005-8.08595154801269e-006i</v>
      </c>
      <c r="G84" s="56" t="str">
        <f>_XLL.IMPRODUKT(C84,F84)</f>
        <v>-0.0126734540234558-0.00855818872595164i</v>
      </c>
      <c r="H84" s="60">
        <f>IMABS(G84)</f>
        <v>0.015292450135725593</v>
      </c>
      <c r="I84" s="39" t="str">
        <f>IMDIV((_XLL.KOMPLEXE(1,(2*PI()*B84*(rf*1000)*(Cz*0.000000001)))),(_XLL.KOMPLEXE(0,2*PI()*B84*((Cz*0.000000001)+(Cp*0.000000000001))*(RII*1000))))</f>
        <v>2.74027402740274-0.136980086211629i</v>
      </c>
      <c r="J84" s="61" t="str">
        <f>IMDIV(1,(_XLL.KOMPLEXE(1,2*PI()*B84*(((Cz*0.000000001)*(Cp*0.000000000001))/((Cz*0.000000001)+(Cp*0.000000000001)))*(rf*1000))))</f>
        <v>0.232158189595277-0.422209384783333i</v>
      </c>
      <c r="K84" s="61" t="str">
        <f>_XLL.IMPRODUKT(I84,J84)</f>
        <v>0.578342779269799-1.18877046007295i</v>
      </c>
      <c r="L84" s="61" t="str">
        <f>_XLL.IMPRODUKT(G84,K84)</f>
        <v>-0.0175033225720141+0.0101162611168946i</v>
      </c>
      <c r="M84" s="56">
        <f>20*LOG(IMABS(L84))</f>
        <v>-33.88590006647813</v>
      </c>
      <c r="N84" s="56">
        <f>(180/PI())*IMARGUMENT(L84)+180</f>
        <v>329.97370554459087</v>
      </c>
      <c r="O84" s="56">
        <f t="shared" si="6"/>
        <v>-30.02629445540913</v>
      </c>
      <c r="P84" s="56">
        <v>-27.674</v>
      </c>
      <c r="Q84" s="56">
        <v>318.153</v>
      </c>
      <c r="R84" s="56">
        <f>B84</f>
        <v>20750</v>
      </c>
    </row>
    <row r="85" spans="1:15" ht="12.75">
      <c r="A85" s="59">
        <f t="shared" si="8"/>
        <v>84</v>
      </c>
      <c r="B85" s="56">
        <f t="shared" si="9"/>
        <v>21000</v>
      </c>
      <c r="C85" s="56">
        <f t="shared" si="7"/>
        <v>1058.40217754644</v>
      </c>
      <c r="D85" s="39" t="str">
        <f>IMDIV((_XLL.KOMPLEXE(1,2*PI()*(B85)*(esrcout*0.001)*(cout*0.000001))),(_XLL.KOMPLEXE(1,2*PI()*(B85)*rload*(cout*0.000001))))</f>
        <v>3.44444759595799e-005-5.61373760434866e-006i</v>
      </c>
      <c r="E85" s="39" t="str">
        <f>IMDIV(1,(_XLL.KOMPLEXE((1-(B85/(fpp*1000))^2),(B85/(fpp*1000)))))</f>
        <v>-0.296636707487767-0.273457895401365i</v>
      </c>
      <c r="F85" s="56" t="str">
        <f>_XLL.IMPRODUKT(D85,E85)</f>
        <v>-1.1752616810412e-005-7.75387326445538e-006i</v>
      </c>
      <c r="G85" s="56" t="str">
        <f>_XLL.IMPRODUKT(C85,F85)</f>
        <v>-0.012438995224009-0.0082067163475187i</v>
      </c>
      <c r="H85" s="60">
        <f>IMABS(G85)</f>
        <v>0.01490230839137177</v>
      </c>
      <c r="I85" s="39" t="str">
        <f>IMDIV((_XLL.KOMPLEXE(1,(2*PI()*B85*(rf*1000)*(Cz*0.000000001)))),(_XLL.KOMPLEXE(0,2*PI()*B85*((Cz*0.000000001)+(Cp*0.000000000001))*(RII*1000))))</f>
        <v>2.74027402740273-0.135349370899586i</v>
      </c>
      <c r="J85" s="61" t="str">
        <f>IMDIV(1,(_XLL.KOMPLEXE(1,2*PI()*B85*(((Cz*0.000000001)*(Cp*0.000000000001))/((Cz*0.000000001)+(Cp*0.000000000001)))*(rf*1000))))</f>
        <v>0.22791583905811-0.419488032444965i</v>
      </c>
      <c r="K85" s="61" t="str">
        <f>_XLL.IMPRODUKT(I85,J85)</f>
        <v>0.567774412913309-1.18036042554978i</v>
      </c>
      <c r="L85" s="61" t="str">
        <f>_XLL.IMPRODUKT(G85,K85)</f>
        <v>-0.0167494264108667+0.0100229341398645i</v>
      </c>
      <c r="M85" s="56">
        <f>20*LOG(IMABS(L85))</f>
        <v>-34.19072181625412</v>
      </c>
      <c r="N85" s="56">
        <f>(180/PI())*IMARGUMENT(L85)+180</f>
        <v>329.10350295652734</v>
      </c>
      <c r="O85" s="56">
        <f t="shared" si="6"/>
        <v>-30.896497043472664</v>
      </c>
    </row>
    <row r="86" spans="1:15" ht="12.75">
      <c r="A86" s="59">
        <f t="shared" si="8"/>
        <v>85</v>
      </c>
      <c r="B86" s="56">
        <f t="shared" si="9"/>
        <v>21250</v>
      </c>
      <c r="C86" s="56">
        <f t="shared" si="7"/>
        <v>1058.40217754644</v>
      </c>
      <c r="D86" s="39" t="str">
        <f>IMDIV((_XLL.KOMPLEXE(1,2*PI()*(B86)*(esrcout*0.001)*(cout*0.000001))),(_XLL.KOMPLEXE(1,2*PI()*(B86)*rload*(cout*0.000001))))</f>
        <v>3.44444752224093e-005-5.54769363253688e-006i</v>
      </c>
      <c r="E86" s="39" t="str">
        <f>IMDIV(1,(_XLL.KOMPLEXE((1-(B86/(fpp*1000))^2),(B86/(fpp*1000)))))</f>
        <v>-0.292474582566039-0.263072375853051i</v>
      </c>
      <c r="F86" s="56" t="str">
        <f>_XLL.IMPRODUKT(D86,E86)</f>
        <v>-1.15335784567968e-005-7.43883055239027e-006i</v>
      </c>
      <c r="G86" s="56" t="str">
        <f>_XLL.IMPRODUKT(C86,F86)</f>
        <v>-0.0122071645535764-0.00787327445504885i</v>
      </c>
      <c r="H86" s="60">
        <f>IMABS(G86)</f>
        <v>0.01452595322457762</v>
      </c>
      <c r="I86" s="39" t="str">
        <f>IMDIV((_XLL.KOMPLEXE(1,(2*PI()*B86*(rf*1000)*(Cz*0.000000001)))),(_XLL.KOMPLEXE(0,2*PI()*B86*((Cz*0.000000001)+(Cp*0.000000000001))*(RII*1000))))</f>
        <v>2.74027402740275-0.133757025359591i</v>
      </c>
      <c r="J86" s="61" t="str">
        <f>IMDIV(1,(_XLL.KOMPLEXE(1,2*PI()*B86*(((Cz*0.000000001)*(Cp*0.000000000001))/((Cz*0.000000001)+(Cp*0.000000000001)))*(rf*1000))))</f>
        <v>0.223777657892559-0.416774780571809i</v>
      </c>
      <c r="K86" s="61" t="str">
        <f>_XLL.IMPRODUKT(I86,J86)</f>
        <v>0.557465548941816-1.17200894033905i</v>
      </c>
      <c r="L86" s="61" t="str">
        <f>_XLL.IMPRODUKT(G86,K86)</f>
        <v>-0.0160326217399429+0.00991782672692811i</v>
      </c>
      <c r="M86" s="56">
        <f>20*LOG(IMABS(L86))</f>
        <v>-34.492724991075725</v>
      </c>
      <c r="N86" s="56">
        <f>(180/PI())*IMARGUMENT(L86)+180</f>
        <v>328.2589436518408</v>
      </c>
      <c r="O86" s="56">
        <f t="shared" si="6"/>
        <v>-31.74105634815919</v>
      </c>
    </row>
    <row r="87" spans="1:15" ht="12.75">
      <c r="A87" s="59">
        <f t="shared" si="8"/>
        <v>86</v>
      </c>
      <c r="B87" s="56">
        <f t="shared" si="9"/>
        <v>21500</v>
      </c>
      <c r="C87" s="56">
        <f t="shared" si="7"/>
        <v>1058.40217754644</v>
      </c>
      <c r="D87" s="39" t="str">
        <f>IMDIV((_XLL.KOMPLEXE(1,2*PI()*(B87)*(esrcout*0.001)*(cout*0.000001))),(_XLL.KOMPLEXE(1,2*PI()*(B87)*rload*(cout*0.000001))))</f>
        <v>3.44444745108041e-005-5.48318556704617e-006i</v>
      </c>
      <c r="E87" s="39" t="str">
        <f>IMDIV(1,(_XLL.KOMPLEXE((1-(B87/(fpp*1000))^2),(B87/(fpp*1000)))))</f>
        <v>-0.288265774261145-0.253174597492427i</v>
      </c>
      <c r="F87" s="56" t="str">
        <f>_XLL.IMPRODUKT(D87,E87)</f>
        <v>-1.13173664127884e-005-7.13985123720889e-006i</v>
      </c>
      <c r="G87" s="56" t="str">
        <f>_XLL.IMPRODUKT(C87,F87)</f>
        <v>-0.0119783252553862-0.00755683409681953i</v>
      </c>
      <c r="H87" s="60">
        <f>IMABS(G87)</f>
        <v>0.014162839315994416</v>
      </c>
      <c r="I87" s="39" t="str">
        <f>IMDIV((_XLL.KOMPLEXE(1,(2*PI()*B87*(rf*1000)*(Cz*0.000000001)))),(_XLL.KOMPLEXE(0,2*PI()*B87*((Cz*0.000000001)+(Cp*0.000000000001))*(RII*1000))))</f>
        <v>2.74027402740274-0.132201711111223i</v>
      </c>
      <c r="J87" s="61" t="str">
        <f>IMDIV(1,(_XLL.KOMPLEXE(1,2*PI()*B87*(((Cz*0.000000001)*(Cp*0.000000000001))/((Cz*0.000000001)+(Cp*0.000000000001)))*(rf*1000))))</f>
        <v>0.219740693774601-0.414070913339802i</v>
      </c>
      <c r="K87" s="61" t="str">
        <f>_XLL.IMPRODUKT(I87,J87)</f>
        <v>0.547408832649089-1.16371786504576i</v>
      </c>
      <c r="L87" s="61" t="str">
        <f>_XLL.IMPRODUKT(G87,K87)</f>
        <v>-0.0153510638867979+0.00980271336155893i</v>
      </c>
      <c r="M87" s="56">
        <f>20*LOG(IMABS(L87))</f>
        <v>-34.79191226254067</v>
      </c>
      <c r="N87" s="56">
        <f>(180/PI())*IMARGUMENT(L87)+180</f>
        <v>327.43896075345356</v>
      </c>
      <c r="O87" s="56">
        <f t="shared" si="6"/>
        <v>-32.56103924654644</v>
      </c>
    </row>
    <row r="88" spans="1:15" ht="12.75">
      <c r="A88" s="59">
        <f t="shared" si="8"/>
        <v>87</v>
      </c>
      <c r="B88" s="56">
        <f t="shared" si="9"/>
        <v>21750</v>
      </c>
      <c r="C88" s="56">
        <f t="shared" si="7"/>
        <v>1058.40217754644</v>
      </c>
      <c r="D88" s="39" t="str">
        <f>IMDIV((_XLL.KOMPLEXE(1,2*PI()*(B88)*(esrcout*0.001)*(cout*0.000001))),(_XLL.KOMPLEXE(1,2*PI()*(B88)*rload*(cout*0.000001))))</f>
        <v>3.44444738235955e-005-5.42016044558957e-006i</v>
      </c>
      <c r="E88" s="39" t="str">
        <f>IMDIV(1,(_XLL.KOMPLEXE((1-(B88/(fpp*1000))^2),(B88/(fpp*1000)))))</f>
        <v>-0.284026847815692-0.243739749062588i</v>
      </c>
      <c r="F88" s="56" t="str">
        <f>_XLL.IMPRODUKT(D88,E88)</f>
        <v>-1.11042638716729e-005-6.85601632033995e-006i</v>
      </c>
      <c r="G88" s="56" t="str">
        <f>_XLL.IMPRODUKT(C88,F88)</f>
        <v>-0.0117527770618289-0.00725642260274173i</v>
      </c>
      <c r="H88" s="60">
        <f>IMABS(G88)</f>
        <v>0.013812437788262893</v>
      </c>
      <c r="I88" s="39" t="str">
        <f>IMDIV((_XLL.KOMPLEXE(1,(2*PI()*B88*(rf*1000)*(Cz*0.000000001)))),(_XLL.KOMPLEXE(0,2*PI()*B88*((Cz*0.000000001)+(Cp*0.000000000001))*(RII*1000))))</f>
        <v>2.74027402740274-0.130682151213393i</v>
      </c>
      <c r="J88" s="61" t="str">
        <f>IMDIV(1,(_XLL.KOMPLEXE(1,2*PI()*B88*(((Cz*0.000000001)*(Cp*0.000000000001))/((Cz*0.000000001)+(Cp*0.000000000001)))*(rf*1000))))</f>
        <v>0.215802076537692-0.411377612783817i</v>
      </c>
      <c r="K88" s="61" t="str">
        <f>_XLL.IMPRODUKT(I88,J88)</f>
        <v>0.537597113996196-1.1554888673647i</v>
      </c>
      <c r="L88" s="61" t="str">
        <f>_XLL.IMPRODUKT(G88,K88)</f>
        <v>-0.0147029745642416+0.00967917120639179i</v>
      </c>
      <c r="M88" s="56">
        <f>20*LOG(IMABS(L88))</f>
        <v>-35.088291346599505</v>
      </c>
      <c r="N88" s="56">
        <f>(180/PI())*IMARGUMENT(L88)+180</f>
        <v>326.6425379866941</v>
      </c>
      <c r="O88" s="56">
        <f t="shared" si="6"/>
        <v>-33.357462013305906</v>
      </c>
    </row>
    <row r="89" spans="1:15" ht="12.75">
      <c r="A89" s="59">
        <f t="shared" si="8"/>
        <v>88</v>
      </c>
      <c r="B89" s="56">
        <f t="shared" si="9"/>
        <v>22000</v>
      </c>
      <c r="C89" s="56">
        <f t="shared" si="7"/>
        <v>1058.40217754644</v>
      </c>
      <c r="D89" s="39" t="str">
        <f>IMDIV((_XLL.KOMPLEXE(1,2*PI()*(B89)*(esrcout*0.001)*(cout*0.000001))),(_XLL.KOMPLEXE(1,2*PI()*(B89)*rload*(cout*0.000001))))</f>
        <v>3.44444731596814e-005-5.35856771325689e-006i</v>
      </c>
      <c r="E89" s="39" t="str">
        <f>IMDIV(1,(_XLL.KOMPLEXE((1-(B89/(fpp*1000))^2),(B89/(fpp*1000)))))</f>
        <v>-0.279772296507588-0.234744108435047i</v>
      </c>
      <c r="F89" s="56" t="str">
        <f>_XLL.IMPRODUKT(D89,E89)</f>
        <v>-1.08945015582154e-005-6.58645834725502e-006i</v>
      </c>
      <c r="G89" s="56" t="str">
        <f>_XLL.IMPRODUKT(C89,F89)</f>
        <v>-0.0115307641724983-0.00697112185705364i</v>
      </c>
      <c r="H89" s="60">
        <f>IMABS(G89)</f>
        <v>0.013474236985731752</v>
      </c>
      <c r="I89" s="39" t="str">
        <f>IMDIV((_XLL.KOMPLEXE(1,(2*PI()*B89*(rf*1000)*(Cz*0.000000001)))),(_XLL.KOMPLEXE(0,2*PI()*B89*((Cz*0.000000001)+(Cp*0.000000000001))*(RII*1000))))</f>
        <v>2.74027402740274-0.129197126767787i</v>
      </c>
      <c r="J89" s="61" t="str">
        <f>IMDIV(1,(_XLL.KOMPLEXE(1,2*PI()*B89*(((Cz*0.000000001)*(Cp*0.000000000001))/((Cz*0.000000001)+(Cp*0.000000000001)))*(rf*1000))))</f>
        <v>0.211959016866011-0.408695965278843i</v>
      </c>
      <c r="K89" s="61" t="str">
        <f>_XLL.IMPRODUKT(I89,J89)</f>
        <v>0.528023444356136-1.14732343472952i</v>
      </c>
      <c r="L89" s="61" t="str">
        <f>_XLL.IMPRODUKT(G89,K89)</f>
        <v>-0.0140866452873737+0.00954860018145904i</v>
      </c>
      <c r="M89" s="56">
        <f>20*LOG(IMABS(L89))</f>
        <v>-35.38187434787747</v>
      </c>
      <c r="N89" s="56">
        <f>(180/PI())*IMARGUMENT(L89)+180</f>
        <v>325.86870764611876</v>
      </c>
      <c r="O89" s="56">
        <f t="shared" si="6"/>
        <v>-34.131292353881236</v>
      </c>
    </row>
    <row r="90" spans="1:15" ht="12.75">
      <c r="A90" s="59">
        <f t="shared" si="8"/>
        <v>89</v>
      </c>
      <c r="B90" s="56">
        <f t="shared" si="9"/>
        <v>22250</v>
      </c>
      <c r="C90" s="56">
        <f t="shared" si="7"/>
        <v>1058.40217754644</v>
      </c>
      <c r="D90" s="39" t="str">
        <f>IMDIV((_XLL.KOMPLEXE(1,2*PI()*(B90)*(esrcout*0.001)*(cout*0.000001))),(_XLL.KOMPLEXE(1,2*PI()*(B90)*rload*(cout*0.000001))))</f>
        <v>3.44444725180204e-005-5.29835908726864e-006i</v>
      </c>
      <c r="E90" s="39" t="str">
        <f>IMDIV(1,(_XLL.KOMPLEXE((1-(B90/(fpp*1000))^2),(B90/(fpp*1000)))))</f>
        <v>-0.275514766381876-0.226165045268281i</v>
      </c>
      <c r="F90" s="56" t="str">
        <f>_XLL.IMPRODUKT(D90,E90)</f>
        <v>-1.06882644217691e-005-6.33035952014404e-006i</v>
      </c>
      <c r="G90" s="56" t="str">
        <f>_XLL.IMPRODUKT(C90,F90)</f>
        <v>-0.0113124823381926-0.00670006630077229i</v>
      </c>
      <c r="H90" s="60">
        <f>IMABS(G90)</f>
        <v>0.013147742965492749</v>
      </c>
      <c r="I90" s="39" t="str">
        <f>IMDIV((_XLL.KOMPLEXE(1,(2*PI()*B90*(rf*1000)*(Cz*0.000000001)))),(_XLL.KOMPLEXE(0,2*PI()*B90*((Cz*0.000000001)+(Cp*0.000000000001))*(RII*1000))))</f>
        <v>2.74027402740274-0.127745473658036i</v>
      </c>
      <c r="J90" s="61" t="str">
        <f>IMDIV(1,(_XLL.KOMPLEXE(1,2*PI()*B90*(((Cz*0.000000001)*(Cp*0.000000000001))/((Cz*0.000000001)+(Cp*0.000000000001)))*(rf*1000))))</f>
        <v>0.208208804880062-0.406026967639439i</v>
      </c>
      <c r="K90" s="61" t="str">
        <f>_XLL.IMPRODUKT(I90,J90)</f>
        <v>0.518681072990363-1.13922288624662i</v>
      </c>
      <c r="L90" s="61" t="str">
        <f>_XLL.IMPRODUKT(G90,K90)</f>
        <v>-0.0135004393465678+0.00941224120193854i</v>
      </c>
      <c r="M90" s="56">
        <f>20*LOG(IMABS(L90))</f>
        <v>-35.67267717492781</v>
      </c>
      <c r="N90" s="56">
        <f>(180/PI())*IMARGUMENT(L90)+180</f>
        <v>325.11654852870066</v>
      </c>
      <c r="O90" s="56">
        <f t="shared" si="6"/>
        <v>-34.88345147129934</v>
      </c>
    </row>
    <row r="91" spans="1:15" ht="12.75">
      <c r="A91" s="59">
        <f t="shared" si="8"/>
        <v>90</v>
      </c>
      <c r="B91" s="56">
        <f t="shared" si="9"/>
        <v>22500</v>
      </c>
      <c r="C91" s="56">
        <f t="shared" si="7"/>
        <v>1058.40217754644</v>
      </c>
      <c r="D91" s="39" t="str">
        <f>IMDIV((_XLL.KOMPLEXE(1,2*PI()*(B91)*(esrcout*0.001)*(cout*0.000001))),(_XLL.KOMPLEXE(1,2*PI()*(B91)*rload*(cout*0.000001))))</f>
        <v>3.4444471897629e-005-5.23948843074669e-006i</v>
      </c>
      <c r="E91" s="39" t="str">
        <f>IMDIV(1,(_XLL.KOMPLEXE((1-(B91/(fpp*1000))^2),(B91/(fpp*1000)))))</f>
        <v>-0.2712652586708-0.217981011431893i</v>
      </c>
      <c r="F91" s="56" t="str">
        <f>_XLL.IMPRODUKT(D91,E91)</f>
        <v>-1.04856975666093e-005-6.08694963801342e-006i</v>
      </c>
      <c r="G91" s="56" t="str">
        <f>_XLL.IMPRODUKT(C91,F91)</f>
        <v>-0.0110980851375927-0.00644244075148892i</v>
      </c>
      <c r="H91" s="60">
        <f>IMABS(G91)</f>
        <v>0.012832479750917248</v>
      </c>
      <c r="I91" s="39" t="str">
        <f>IMDIV((_XLL.KOMPLEXE(1,(2*PI()*B91*(rf*1000)*(Cz*0.000000001)))),(_XLL.KOMPLEXE(0,2*PI()*B91*((Cz*0.000000001)+(Cp*0.000000000001))*(RII*1000))))</f>
        <v>2.74027402740274-0.12632607950628i</v>
      </c>
      <c r="J91" s="61" t="str">
        <f>IMDIV(1,(_XLL.KOMPLEXE(1,2*PI()*B91*(((Cz*0.000000001)*(Cp*0.000000000001))/((Cz*0.000000001)+(Cp*0.000000000001)))*(rf*1000))))</f>
        <v>0.204548808633249-0.403371532857696i</v>
      </c>
      <c r="K91" s="61" t="str">
        <f>_XLL.IMPRODUKT(I91,J91)</f>
        <v>0.509563443303514-1.13118838394589i</v>
      </c>
      <c r="L91" s="61" t="str">
        <f>_XLL.IMPRODUKT(G91,K91)</f>
        <v>-0.0129427926191312+0.00927119269907982i</v>
      </c>
      <c r="M91" s="56">
        <f>20*LOG(IMABS(L91))</f>
        <v>-35.960719019470744</v>
      </c>
      <c r="N91" s="56">
        <f>(180/PI())*IMARGUMENT(L91)+180</f>
        <v>324.38518386216515</v>
      </c>
      <c r="O91" s="56">
        <f t="shared" si="6"/>
        <v>-35.61481613783485</v>
      </c>
    </row>
    <row r="92" spans="1:15" ht="12.75">
      <c r="A92" s="59">
        <f t="shared" si="8"/>
        <v>91</v>
      </c>
      <c r="B92" s="56">
        <f t="shared" si="9"/>
        <v>22750</v>
      </c>
      <c r="C92" s="56">
        <f t="shared" si="7"/>
        <v>1058.40217754644</v>
      </c>
      <c r="D92" s="39" t="str">
        <f>IMDIV((_XLL.KOMPLEXE(1,2*PI()*(B92)*(esrcout*0.001)*(cout*0.000001))),(_XLL.KOMPLEXE(1,2*PI()*(B92)*rload*(cout*0.000001))))</f>
        <v>3.44444712975776e-005-5.18191163480753e-006i</v>
      </c>
      <c r="E92" s="39" t="str">
        <f>IMDIV(1,(_XLL.KOMPLEXE((1-(B92/(fpp*1000))^2),(B92/(fpp*1000)))))</f>
        <v>-0.267033311733552-0.210171521949085i</v>
      </c>
      <c r="F92" s="56" t="str">
        <f>_XLL.IMPRODUKT(D92,E92)</f>
        <v>-1.02869114963966e-005-5.85550393039018e-006i</v>
      </c>
      <c r="G92" s="56" t="str">
        <f>_XLL.IMPRODUKT(C92,F92)</f>
        <v>-0.0108876895280137-0.0061974781105567i</v>
      </c>
      <c r="H92" s="60">
        <f>IMABS(G92)</f>
        <v>0.01252798939132887</v>
      </c>
      <c r="I92" s="39" t="str">
        <f>IMDIV((_XLL.KOMPLEXE(1,(2*PI()*B92*(rf*1000)*(Cz*0.000000001)))),(_XLL.KOMPLEXE(0,2*PI()*B92*((Cz*0.000000001)+(Cp*0.000000000001))*(RII*1000))))</f>
        <v>2.74027402740274-0.124937880830387i</v>
      </c>
      <c r="J92" s="61" t="str">
        <f>IMDIV(1,(_XLL.KOMPLEXE(1,2*PI()*B92*(((Cz*0.000000001)*(Cp*0.000000000001))/((Cz*0.000000001)+(Cp*0.000000000001)))*(rf*1000))))</f>
        <v>0.200976472536051-0.400730495499178i</v>
      </c>
      <c r="K92" s="61" t="str">
        <f>_XLL.IMPRODUKT(I92,J92)</f>
        <v>0.500664188917783-1.12322094338005i</v>
      </c>
      <c r="L92" s="61" t="str">
        <f>_XLL.IMPRODUKT(G92,K92)</f>
        <v>-0.0124122134566483+0.00912642555132706i</v>
      </c>
      <c r="M92" s="56">
        <f>20*LOG(IMABS(L92))</f>
        <v>-36.246021893220004</v>
      </c>
      <c r="N92" s="56">
        <f>(180/PI())*IMARGUMENT(L92)+180</f>
        <v>323.6737792511342</v>
      </c>
      <c r="O92" s="56">
        <f t="shared" si="6"/>
        <v>-36.32622074886581</v>
      </c>
    </row>
    <row r="93" spans="1:15" ht="12.75">
      <c r="A93" s="59">
        <f t="shared" si="8"/>
        <v>92</v>
      </c>
      <c r="B93" s="56">
        <f t="shared" si="9"/>
        <v>23000</v>
      </c>
      <c r="C93" s="56">
        <f t="shared" si="7"/>
        <v>1058.40217754644</v>
      </c>
      <c r="D93" s="39" t="str">
        <f>IMDIV((_XLL.KOMPLEXE(1,2*PI()*(B93)*(esrcout*0.001)*(cout*0.000001))),(_XLL.KOMPLEXE(1,2*PI()*(B93)*rload*(cout*0.000001))))</f>
        <v>3.44444707169865e-005-5.12558650834521e-006i</v>
      </c>
      <c r="E93" s="39" t="str">
        <f>IMDIV(1,(_XLL.KOMPLEXE((1-(B93/(fpp*1000))^2),(B93/(fpp*1000)))))</f>
        <v>-0.262827164292679-0.202717128730101i</v>
      </c>
      <c r="F93" s="56" t="str">
        <f>_XLL.IMPRODUKT(D93,E93)</f>
        <v>-1.00919867441373e-005-5.63534083705036e-006i</v>
      </c>
      <c r="G93" s="56" t="str">
        <f>_XLL.IMPRODUKT(C93,F93)</f>
        <v>-0.0106813807457647-0.00596445701315048i</v>
      </c>
      <c r="H93" s="60">
        <f>IMABS(G93)</f>
        <v>0.012233831864862002</v>
      </c>
      <c r="I93" s="39" t="str">
        <f>IMDIV((_XLL.KOMPLEXE(1,(2*PI()*B93*(rf*1000)*(Cz*0.000000001)))),(_XLL.KOMPLEXE(0,2*PI()*B93*((Cz*0.000000001)+(Cp*0.000000000001))*(RII*1000))))</f>
        <v>2.74027402740274-0.123579860386579i</v>
      </c>
      <c r="J93" s="61" t="str">
        <f>IMDIV(1,(_XLL.KOMPLEXE(1,2*PI()*B93*(((Cz*0.000000001)*(Cp*0.000000000001))/((Cz*0.000000001)+(Cp*0.000000000001)))*(rf*1000))))</f>
        <v>0.197489315722579-0.398104616775548i</v>
      </c>
      <c r="K93" s="61" t="str">
        <f>_XLL.IMPRODUKT(I93,J93)</f>
        <v>0.491977129603748-1.11532144360399i</v>
      </c>
      <c r="L93" s="61" t="str">
        <f>_XLL.IMPRODUKT(G93,K93)</f>
        <v>-0.011907281845727+0.00897879655207543i</v>
      </c>
      <c r="M93" s="56">
        <f>20*LOG(IMABS(L93))</f>
        <v>-36.52861021643666</v>
      </c>
      <c r="N93" s="56">
        <f>(180/PI())*IMARGUMENT(L93)+180</f>
        <v>322.9815406586419</v>
      </c>
      <c r="O93" s="56">
        <f t="shared" si="6"/>
        <v>-37.018459341358096</v>
      </c>
    </row>
    <row r="94" spans="1:15" ht="12.75">
      <c r="A94" s="59">
        <f t="shared" si="8"/>
        <v>93</v>
      </c>
      <c r="B94" s="56">
        <f t="shared" si="9"/>
        <v>23250</v>
      </c>
      <c r="C94" s="56">
        <f t="shared" si="7"/>
        <v>1058.40217754644</v>
      </c>
      <c r="D94" s="39" t="str">
        <f>IMDIV((_XLL.KOMPLEXE(1,2*PI()*(B94)*(esrcout*0.001)*(cout*0.000001))),(_XLL.KOMPLEXE(1,2*PI()*(B94)*rload*(cout*0.000001))))</f>
        <v>3.44444701550232e-005-5.07047267492499e-006i</v>
      </c>
      <c r="E94" s="39" t="str">
        <f>IMDIV(1,(_XLL.KOMPLEXE((1-(B94/(fpp*1000))^2),(B94/(fpp*1000)))))</f>
        <v>-0.258653901662655-0.195599388962652i</v>
      </c>
      <c r="F94" s="56" t="str">
        <f>_XLL.IMPRODUKT(D94,E94)</f>
        <v>-9.90097795326678e-006-5.42581977482161e-006i</v>
      </c>
      <c r="G94" s="56" t="str">
        <f>_XLL.IMPRODUKT(C94,F94)</f>
        <v>-0.0104792166255769-0.00574269946464573i</v>
      </c>
      <c r="H94" s="60">
        <f>IMABS(G94)</f>
        <v>0.011949584855843727</v>
      </c>
      <c r="I94" s="39" t="str">
        <f>IMDIV((_XLL.KOMPLEXE(1,(2*PI()*B94*(rf*1000)*(Cz*0.000000001)))),(_XLL.KOMPLEXE(0,2*PI()*B94*((Cz*0.000000001)+(Cp*0.000000000001))*(RII*1000))))</f>
        <v>2.74027402740274-0.122251044683497i</v>
      </c>
      <c r="J94" s="61" t="str">
        <f>IMDIV(1,(_XLL.KOMPLEXE(1,2*PI()*B94*(((Cz*0.000000001)*(Cp*0.000000000001))/((Cz*0.000000001)+(Cp*0.000000000001)))*(rf*1000))))</f>
        <v>0.194084930372622-0.395494589311758i</v>
      </c>
      <c r="K94" s="61" t="str">
        <f>_XLL.IMPRODUKT(I94,J94)</f>
        <v>0.483496267100332-1.1074906365647i</v>
      </c>
      <c r="L94" s="61" t="str">
        <f>_XLL.IMPRODUKT(G94,K94)</f>
        <v>-0.0114266480063024+0.00882906053712426i</v>
      </c>
      <c r="M94" s="56">
        <f>20*LOG(IMABS(L94))</f>
        <v>-36.80851045286589</v>
      </c>
      <c r="N94" s="56">
        <f>(180/PI())*IMARGUMENT(L94)+180</f>
        <v>322.30771243639083</v>
      </c>
      <c r="O94" s="56">
        <f t="shared" si="6"/>
        <v>-37.69228756360917</v>
      </c>
    </row>
    <row r="95" spans="1:15" ht="12.75">
      <c r="A95" s="59">
        <f t="shared" si="8"/>
        <v>94</v>
      </c>
      <c r="B95" s="56">
        <f t="shared" si="9"/>
        <v>23500</v>
      </c>
      <c r="C95" s="56">
        <f t="shared" si="7"/>
        <v>1058.40217754644</v>
      </c>
      <c r="D95" s="39" t="str">
        <f>IMDIV((_XLL.KOMPLEXE(1,2*PI()*(B95)*(esrcout*0.001)*(cout*0.000001))),(_XLL.KOMPLEXE(1,2*PI()*(B95)*rload*(cout*0.000001))))</f>
        <v>3.44444696108994e-005-5.01653147625831e-006i</v>
      </c>
      <c r="E95" s="39" t="str">
        <f>IMDIV(1,(_XLL.KOMPLEXE((1-(B95/(fpp*1000))^2),(B95/(fpp*1000)))))</f>
        <v>-0.254519586567639-0.188800829682434i</v>
      </c>
      <c r="F95" s="56" t="str">
        <f>_XLL.IMPRODUKT(D95,E95)</f>
        <v>-9.71391746975334e-006-5.22633892316838e-006i</v>
      </c>
      <c r="G95" s="56" t="str">
        <f>_XLL.IMPRODUKT(C95,F95)</f>
        <v>-0.0102812314024933-0.00553156849687713i</v>
      </c>
      <c r="H95" s="60">
        <f>IMABS(G95)</f>
        <v>0.011674843433093992</v>
      </c>
      <c r="I95" s="39" t="str">
        <f>IMDIV((_XLL.KOMPLEXE(1,(2*PI()*B95*(rf*1000)*(Cz*0.000000001)))),(_XLL.KOMPLEXE(0,2*PI()*B95*((Cz*0.000000001)+(Cp*0.000000000001))*(RII*1000))))</f>
        <v>2.74027402740274-0.120950501654949i</v>
      </c>
      <c r="J95" s="61" t="str">
        <f>IMDIV(1,(_XLL.KOMPLEXE(1,2*PI()*B95*(((Cz*0.000000001)*(Cp*0.000000000001))/((Cz*0.000000001)+(Cp*0.000000000001)))*(rf*1000))))</f>
        <v>0.190760980000824-0.392901041624923i</v>
      </c>
      <c r="K95" s="61" t="str">
        <f>_XLL.IMPRODUKT(I95,J95)</f>
        <v>0.475215780852865-1.09972915593155i</v>
      </c>
      <c r="L95" s="61" t="str">
        <f>_XLL.IMPRODUKT(G95,K95)</f>
        <v>-0.0109690305631131+0.00867788128961633i</v>
      </c>
      <c r="M95" s="56">
        <f>20*LOG(IMABS(L95))</f>
        <v>-37.08575078620713</v>
      </c>
      <c r="N95" s="56">
        <f>(180/PI())*IMARGUMENT(L95)+180</f>
        <v>321.6515754136827</v>
      </c>
      <c r="O95" s="56">
        <f t="shared" si="6"/>
        <v>-38.34842458631732</v>
      </c>
    </row>
    <row r="96" spans="1:15" ht="12.75">
      <c r="A96" s="59">
        <f t="shared" si="8"/>
        <v>95</v>
      </c>
      <c r="B96" s="56">
        <f t="shared" si="9"/>
        <v>23750</v>
      </c>
      <c r="C96" s="56">
        <f t="shared" si="7"/>
        <v>1058.40217754644</v>
      </c>
      <c r="D96" s="39" t="str">
        <f>IMDIV((_XLL.KOMPLEXE(1,2*PI()*(B96)*(esrcout*0.001)*(cout*0.000001))),(_XLL.KOMPLEXE(1,2*PI()*(B96)*rload*(cout*0.000001))))</f>
        <v>3.44444690838677e-005-4.96372588177397e-006i</v>
      </c>
      <c r="E96" s="39" t="str">
        <f>IMDIV(1,(_XLL.KOMPLEXE((1-(B96/(fpp*1000))^2),(B96/(fpp*1000)))))</f>
        <v>-0.250429376037459-0.18230490975907i</v>
      </c>
      <c r="F96" s="56" t="str">
        <f>_XLL.IMPRODUKT(D96,E96)</f>
        <v>-9.5308184995601e-006-5.03633305263994e-006i</v>
      </c>
      <c r="G96" s="56" t="str">
        <f>_XLL.IMPRODUKT(C96,F96)</f>
        <v>-0.0100874390537343-0.00533046586976322i</v>
      </c>
      <c r="H96" s="60">
        <f>IMABS(G96)</f>
        <v>0.011409219651295814</v>
      </c>
      <c r="I96" s="39" t="str">
        <f>IMDIV((_XLL.KOMPLEXE(1,(2*PI()*B96*(rf*1000)*(Cz*0.000000001)))),(_XLL.KOMPLEXE(0,2*PI()*B96*((Cz*0.000000001)+(Cp*0.000000000001))*(RII*1000))))</f>
        <v>2.74027402740274-0.119677338479634i</v>
      </c>
      <c r="J96" s="61" t="str">
        <f>IMDIV(1,(_XLL.KOMPLEXE(1,2*PI()*B96*(((Cz*0.000000001)*(Cp*0.000000000001))/((Cz*0.000000001)+(Cp*0.000000000001)))*(rf*1000))))</f>
        <v>0.187515197723226-0.39032454233118i</v>
      </c>
      <c r="K96" s="61" t="str">
        <f>_XLL.IMPRODUKT(I96,J96)</f>
        <v>0.467130023694769-1.09203752539599i</v>
      </c>
      <c r="L96" s="61" t="str">
        <f>_XLL.IMPRODUKT(G96,K96)</f>
        <v>-0.0105332144018145+0.00852584133377622i</v>
      </c>
      <c r="M96" s="56">
        <f>20*LOG(IMABS(L96))</f>
        <v>-37.360360833725515</v>
      </c>
      <c r="N96" s="56">
        <f>(180/PI())*IMARGUMENT(L96)+180</f>
        <v>321.0124450521242</v>
      </c>
      <c r="O96" s="56">
        <f t="shared" si="6"/>
        <v>-38.98755494787582</v>
      </c>
    </row>
    <row r="97" spans="1:15" ht="12.75">
      <c r="A97" s="59">
        <f t="shared" si="8"/>
        <v>96</v>
      </c>
      <c r="B97" s="56">
        <f t="shared" si="9"/>
        <v>24000</v>
      </c>
      <c r="C97" s="56">
        <f t="shared" si="7"/>
        <v>1058.40217754644</v>
      </c>
      <c r="D97" s="39" t="str">
        <f>IMDIV((_XLL.KOMPLEXE(1,2*PI()*(B97)*(esrcout*0.001)*(cout*0.000001))),(_XLL.KOMPLEXE(1,2*PI()*(B97)*rload*(cout*0.000001))))</f>
        <v>3.44444685732199e-005-4.91202040384134e-006i</v>
      </c>
      <c r="E97" s="39" t="str">
        <f>IMDIV(1,(_XLL.KOMPLEXE((1-(B97/(fpp*1000))^2),(B97/(fpp*1000)))))</f>
        <v>-0.246387625758944-0.176095980292277i</v>
      </c>
      <c r="F97" s="56" t="str">
        <f>_XLL.IMPRODUKT(D97,E97)</f>
        <v>-9.35167788051432e-006-4.85527141406573e-006i</v>
      </c>
      <c r="G97" s="56" t="str">
        <f>_XLL.IMPRODUKT(C97,F97)</f>
        <v>-0.00989783623244923-0.00513882983722615i</v>
      </c>
      <c r="H97" s="60">
        <f>IMABS(G97)</f>
        <v>0.01115234209394379</v>
      </c>
      <c r="I97" s="39" t="str">
        <f>IMDIV((_XLL.KOMPLEXE(1,(2*PI()*B97*(rf*1000)*(Cz*0.000000001)))),(_XLL.KOMPLEXE(0,2*PI()*B97*((Cz*0.000000001)+(Cp*0.000000000001))*(RII*1000))))</f>
        <v>2.74027402740274-0.118430699537138i</v>
      </c>
      <c r="J97" s="61" t="str">
        <f>IMDIV(1,(_XLL.KOMPLEXE(1,2*PI()*B97*(((Cz*0.000000001)*(Cp*0.000000000001))/((Cz*0.000000001)+(Cp*0.000000000001)))*(rf*1000))))</f>
        <v>0.184345384510225-0.387765604096086i</v>
      </c>
      <c r="K97" s="61" t="str">
        <f>_XLL.IMPRODUKT(I97,J97)</f>
        <v>0.459233517495401-1.08441616646863i</v>
      </c>
      <c r="L97" s="61" t="str">
        <f>_XLL.IMPRODUKT(G97,K97)</f>
        <v>-0.0101180483008405+0.00837345072156722i</v>
      </c>
      <c r="M97" s="56">
        <f>20*LOG(IMABS(L97))</f>
        <v>-37.63237139304194</v>
      </c>
      <c r="N97" s="56">
        <f>(180/PI())*IMARGUMENT(L97)+180</f>
        <v>320.38966967094876</v>
      </c>
      <c r="O97" s="56">
        <f t="shared" si="6"/>
        <v>-39.61033032905124</v>
      </c>
    </row>
    <row r="98" spans="1:15" ht="12.75">
      <c r="A98" s="59">
        <f t="shared" si="8"/>
        <v>97</v>
      </c>
      <c r="B98" s="56">
        <f t="shared" si="9"/>
        <v>24250</v>
      </c>
      <c r="C98" s="56">
        <f t="shared" si="7"/>
        <v>1058.40217754644</v>
      </c>
      <c r="D98" s="39" t="str">
        <f>IMDIV((_XLL.KOMPLEXE(1,2*PI()*(B98)*(esrcout*0.001)*(cout*0.000001))),(_XLL.KOMPLEXE(1,2*PI()*(B98)*rload*(cout*0.000001))))</f>
        <v>3.44444680782839e-005-4.86138101823714e-006i</v>
      </c>
      <c r="E98" s="39" t="str">
        <f>IMDIV(1,(_XLL.KOMPLEXE((1-(B98/(fpp*1000))^2),(B98/(fpp*1000)))))</f>
        <v>-0.242397983147737-0.170159244212842i</v>
      </c>
      <c r="F98" s="56" t="str">
        <f>_XLL.IMPRODUKT(D98,E98)</f>
        <v>-9.17647851266652e-006-4.68265570138078e-006i</v>
      </c>
      <c r="G98" s="56" t="str">
        <f>_XLL.IMPRODUKT(C98,F98)</f>
        <v>-0.00971240484001436-0.00495613299104167i</v>
      </c>
      <c r="H98" s="60">
        <f>IMABS(G98)</f>
        <v>0.0109038553732717</v>
      </c>
      <c r="I98" s="39" t="str">
        <f>IMDIV((_XLL.KOMPLEXE(1,(2*PI()*B98*(rf*1000)*(Cz*0.000000001)))),(_XLL.KOMPLEXE(0,2*PI()*B98*((Cz*0.000000001)+(Cp*0.000000000001))*(RII*1000))))</f>
        <v>2.74027402740275-0.117209764490363i</v>
      </c>
      <c r="J98" s="61" t="str">
        <f>IMDIV(1,(_XLL.KOMPLEXE(1,2*PI()*B98*(((Cz*0.000000001)*(Cp*0.000000000001))/((Cz*0.000000001)+(Cp*0.000000000001)))*(rf*1000))))</f>
        <v>0.181249407433887-0.385224687343311i</v>
      </c>
      <c r="K98" s="61" t="str">
        <f>_XLL.IMPRODUKT(I98,J98)</f>
        <v>0.451520948793836-1.07686540580056i</v>
      </c>
      <c r="L98" s="61" t="str">
        <f>_XLL.IMPRODUKT(G98,K98)</f>
        <v>-0.00972244241303276+0.00822115490887783i</v>
      </c>
      <c r="M98" s="56">
        <f>20*LOG(IMABS(L98))</f>
        <v>-37.901814218533815</v>
      </c>
      <c r="N98" s="56">
        <f>(180/PI())*IMARGUMENT(L98)+180</f>
        <v>319.7826287459469</v>
      </c>
      <c r="O98" s="56">
        <f t="shared" si="6"/>
        <v>-40.21737125405309</v>
      </c>
    </row>
    <row r="99" spans="1:15" ht="12.75">
      <c r="A99" s="59">
        <f t="shared" si="8"/>
        <v>98</v>
      </c>
      <c r="B99" s="56">
        <f t="shared" si="9"/>
        <v>24500</v>
      </c>
      <c r="C99" s="56">
        <f t="shared" si="7"/>
        <v>1058.40217754644</v>
      </c>
      <c r="D99" s="39" t="str">
        <f>IMDIV((_XLL.KOMPLEXE(1,2*PI()*(B99)*(esrcout*0.001)*(cout*0.000001))),(_XLL.KOMPLEXE(1,2*PI()*(B99)*rload*(cout*0.000001))))</f>
        <v>3.44444675984214e-005-4.81177508948193e-006i</v>
      </c>
      <c r="E99" s="39" t="str">
        <f>IMDIV(1,(_XLL.KOMPLEXE((1-(B99/(fpp*1000))^2),(B99/(fpp*1000)))))</f>
        <v>-0.238463470296582-0.164480715716955i</v>
      </c>
      <c r="F99" s="56" t="str">
        <f>_XLL.IMPRODUKT(D99,E99)</f>
        <v>-9.00519148662475e-006-4.51801809695331e-006i</v>
      </c>
      <c r="G99" s="56" t="str">
        <f>_XLL.IMPRODUKT(C99,F99)</f>
        <v>-0.0095311142786663-0.00478188019200961i</v>
      </c>
      <c r="H99" s="60">
        <f>IMABS(G99)</f>
        <v>0.010663419599909334</v>
      </c>
      <c r="I99" s="39" t="str">
        <f>IMDIV((_XLL.KOMPLEXE(1,(2*PI()*B99*(rf*1000)*(Cz*0.000000001)))),(_XLL.KOMPLEXE(0,2*PI()*B99*((Cz*0.000000001)+(Cp*0.000000000001))*(RII*1000))))</f>
        <v>2.74027402740274-0.116013746485359i</v>
      </c>
      <c r="J99" s="61" t="str">
        <f>IMDIV(1,(_XLL.KOMPLEXE(1,2*PI()*B99*(((Cz*0.000000001)*(Cp*0.000000000001))/((Cz*0.000000001)+(Cp*0.000000000001)))*(rf*1000))))</f>
        <v>0.178225197916525-0.382702203735673i</v>
      </c>
      <c r="K99" s="61" t="str">
        <f>_XLL.IMPRODUKT(I99,J99)</f>
        <v>0.443987164435788-1.06938548205505i</v>
      </c>
      <c r="L99" s="61" t="str">
        <f>_XLL.IMPRODUKT(G99,K99)</f>
        <v>-0.0093453656567602+0.00806934181029133i</v>
      </c>
      <c r="M99" s="56">
        <f>20*LOG(IMABS(L99))</f>
        <v>-38.16872182414007</v>
      </c>
      <c r="N99" s="56">
        <f>(180/PI())*IMARGUMENT(L99)+180</f>
        <v>319.19073128352227</v>
      </c>
      <c r="O99" s="56">
        <f t="shared" si="6"/>
        <v>-40.80926871647773</v>
      </c>
    </row>
    <row r="100" spans="1:15" ht="12.75">
      <c r="A100" s="59">
        <f t="shared" si="8"/>
        <v>99</v>
      </c>
      <c r="B100" s="56">
        <f>(fs*1000/2)*(A100/100)</f>
        <v>24750</v>
      </c>
      <c r="C100" s="56">
        <f t="shared" si="7"/>
        <v>1058.40217754644</v>
      </c>
      <c r="D100" s="39" t="str">
        <f>IMDIV((_XLL.KOMPLEXE(1,2*PI()*(B100)*(esrcout*0.001)*(cout*0.000001))),(_XLL.KOMPLEXE(1,2*PI()*(B100)*rload*(cout*0.000001))))</f>
        <v>3.44444671330268e-005-4.7631713007015e-006i</v>
      </c>
      <c r="E100" s="39" t="str">
        <f>IMDIV(1,(_XLL.KOMPLEXE((1-(B100/(fpp*1000))^2),(B100/(fpp*1000)))))</f>
        <v>-0.234586557851577-0.159047180025381i</v>
      </c>
      <c r="F100" s="56" t="str">
        <f>_XLL.IMPRODUKT(D100,E100)</f>
        <v>-8.83777794512293e-006-4.36091940509585e-006i</v>
      </c>
      <c r="G100" s="56" t="str">
        <f>_XLL.IMPRODUKT(C100,F100)</f>
        <v>-0.00935392342179001-0.00461560659445797i</v>
      </c>
      <c r="H100" s="60">
        <f>IMABS(G100)</f>
        <v>0.010430709832773399</v>
      </c>
      <c r="I100" s="39" t="str">
        <f>IMDIV((_XLL.KOMPLEXE(1,(2*PI()*B100*(rf*1000)*(Cz*0.000000001)))),(_XLL.KOMPLEXE(0,2*PI()*B100*((Cz*0.000000001)+(Cp*0.000000000001))*(RII*1000))))</f>
        <v>2.74027402740274-0.114841890460255i</v>
      </c>
      <c r="J100" s="61" t="str">
        <f>IMDIV(1,(_XLL.KOMPLEXE(1,2*PI()*B100*(((Cz*0.000000001)*(Cp*0.000000000001))/((Cz*0.000000001)+(Cp*0.000000000001)))*(rf*1000))))</f>
        <v>0.17527074998664-0.380198519441831i</v>
      </c>
      <c r="K100" s="61" t="str">
        <f>_XLL.IMPRODUKT(I100,J100)</f>
        <v>0.436627167228899-1.06197655235428i</v>
      </c>
      <c r="L100" s="61" t="str">
        <f>_XLL.IMPRODUKT(G100,K100)</f>
        <v>-0.00898584306433838+0.0079183481140773i</v>
      </c>
      <c r="M100" s="56">
        <f>20*LOG(IMABS(L100))</f>
        <v>-38.43312730969319</v>
      </c>
      <c r="N100" s="56">
        <f>(180/PI())*IMARGUMENT(L100)+180</f>
        <v>318.61341427025036</v>
      </c>
      <c r="O100" s="56">
        <f t="shared" si="6"/>
        <v>-41.38658572974964</v>
      </c>
    </row>
    <row r="101" spans="1:18" ht="12.75">
      <c r="A101" s="59">
        <f>1+A100</f>
        <v>100</v>
      </c>
      <c r="B101" s="56">
        <f>(fs*1000/2)*(A101/100)</f>
        <v>25000</v>
      </c>
      <c r="C101" s="56">
        <f t="shared" si="7"/>
        <v>1058.40217754644</v>
      </c>
      <c r="D101" s="39" t="str">
        <f>IMDIV((_XLL.KOMPLEXE(1,2*PI()*(B101)*(esrcout*0.001)*(cout*0.000001))),(_XLL.KOMPLEXE(1,2*PI()*(B101)*rload*(cout*0.000001))))</f>
        <v>3.4444466681524e-005-4.71553958769662e-006i</v>
      </c>
      <c r="E101" s="39" t="str">
        <f>IMDIV(1,(_XLL.KOMPLEXE((1-(B101/(fpp*1000))^2),(B101/(fpp*1000)))))</f>
        <v>-0.230769230769231-0.153846153846154i</v>
      </c>
      <c r="F101" s="56" t="str">
        <f>_XLL.IMPRODUKT(D101,E101)</f>
        <v>-8.67419070922811e-006-4.21094727691986e-006i</v>
      </c>
      <c r="G101" s="56" t="str">
        <f>_XLL.IMPRODUKT(C101,F101)</f>
        <v>-0.00918078233510013-0.00445687576742523i</v>
      </c>
      <c r="H101" s="60">
        <f>IMABS(G101)</f>
        <v>0.010205415517789999</v>
      </c>
      <c r="I101" s="39" t="str">
        <f>IMDIV((_XLL.KOMPLEXE(1,(2*PI()*B101*(rf*1000)*(Cz*0.000000001)))),(_XLL.KOMPLEXE(0,2*PI()*B101*((Cz*0.000000001)+(Cp*0.000000000001))*(RII*1000))))</f>
        <v>2.74027402740274-0.113693471555652i</v>
      </c>
      <c r="J101" s="61" t="str">
        <f>IMDIV(1,(_XLL.KOMPLEXE(1,2*PI()*B101*(((Cz*0.000000001)*(Cp*0.000000000001))/((Cz*0.000000001)+(Cp*0.000000000001)))*(rf*1000))))</f>
        <v>0.172384118547403-0.377713958201226i</v>
      </c>
      <c r="K101" s="61" t="str">
        <f>_XLL.IMPRODUKT(I101,J101)</f>
        <v>0.42943611162924-1.05463869832502i</v>
      </c>
      <c r="L101" s="61" t="str">
        <f>_XLL.IMPRODUKT(G101,K101)</f>
        <v>-0.00864295312565349+0.00776846493191766i</v>
      </c>
      <c r="M101" s="56">
        <f>20*LOG(IMABS(L101))</f>
        <v>-38.695064208202766</v>
      </c>
      <c r="N101" s="56">
        <f>(180/PI())*IMARGUMENT(L101)+180</f>
        <v>318.05014119737547</v>
      </c>
      <c r="O101" s="56">
        <f t="shared" si="6"/>
        <v>-41.94985880262453</v>
      </c>
      <c r="P101" s="56">
        <v>-32.747</v>
      </c>
      <c r="Q101" s="56">
        <v>307.65</v>
      </c>
      <c r="R101" s="56">
        <f>B101</f>
        <v>25000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5"/>
  <sheetViews>
    <sheetView zoomScale="130" zoomScaleNormal="130" workbookViewId="0" topLeftCell="A1">
      <selection activeCell="C34" sqref="C34"/>
    </sheetView>
  </sheetViews>
  <sheetFormatPr defaultColWidth="9.140625" defaultRowHeight="12.75"/>
  <cols>
    <col min="1" max="1" width="9.140625" style="62" customWidth="1"/>
    <col min="2" max="2" width="19.28125" style="62" customWidth="1"/>
    <col min="3" max="3" width="12.421875" style="62" customWidth="1"/>
    <col min="4" max="4" width="7.7109375" style="62" customWidth="1"/>
    <col min="5" max="5" width="8.7109375" style="63" customWidth="1"/>
    <col min="6" max="8" width="8.7109375" style="64" customWidth="1"/>
    <col min="9" max="9" width="8.7109375" style="65" customWidth="1"/>
    <col min="10" max="11" width="9.140625" style="66" customWidth="1"/>
    <col min="12" max="12" width="4.7109375" style="66" customWidth="1"/>
    <col min="13" max="13" width="10.28125" style="63" customWidth="1"/>
    <col min="14" max="14" width="9.140625" style="63" customWidth="1"/>
    <col min="15" max="16384" width="9.140625" style="67" customWidth="1"/>
  </cols>
  <sheetData>
    <row r="1" spans="1:14" ht="12.75">
      <c r="A1" s="68"/>
      <c r="B1" s="63"/>
      <c r="C1" s="63"/>
      <c r="D1" s="63"/>
      <c r="E1" s="69" t="s">
        <v>323</v>
      </c>
      <c r="J1" s="69" t="s">
        <v>324</v>
      </c>
      <c r="K1" s="70"/>
      <c r="L1" s="70"/>
      <c r="N1" s="70"/>
    </row>
    <row r="2" spans="1:14" ht="13.5" customHeight="1">
      <c r="A2" s="63"/>
      <c r="B2" s="71" t="s">
        <v>325</v>
      </c>
      <c r="C2" s="72">
        <v>127</v>
      </c>
      <c r="D2" s="63"/>
      <c r="E2" s="73" t="s">
        <v>326</v>
      </c>
      <c r="F2" s="73"/>
      <c r="G2" s="74" t="s">
        <v>327</v>
      </c>
      <c r="H2" s="74"/>
      <c r="J2" s="75" t="s">
        <v>328</v>
      </c>
      <c r="K2" s="76">
        <v>1000</v>
      </c>
      <c r="L2" s="77" t="s">
        <v>93</v>
      </c>
      <c r="N2" s="78"/>
    </row>
    <row r="3" spans="2:14" ht="12.75">
      <c r="B3" s="63"/>
      <c r="C3" s="62" t="s">
        <v>11</v>
      </c>
      <c r="E3" s="79">
        <v>100</v>
      </c>
      <c r="F3" s="73">
        <v>150</v>
      </c>
      <c r="G3" s="74">
        <v>100</v>
      </c>
      <c r="H3" s="80">
        <v>102</v>
      </c>
      <c r="J3" s="75"/>
      <c r="K3" s="81">
        <f>IF(K2&lt;10000,sta*10^INT(LOG(K2)),stb*10^INT(LOG(K2)))</f>
        <v>1000</v>
      </c>
      <c r="L3" s="82" t="s">
        <v>93</v>
      </c>
      <c r="N3" s="83"/>
    </row>
    <row r="4" spans="2:14" ht="12.75">
      <c r="B4" s="84" t="s">
        <v>329</v>
      </c>
      <c r="C4" s="85">
        <f>(IF((10^(LOG(C2)-INT(LOG(C2)))*100)-VLOOKUP((10^(LOG(C2)-INT(LOG(C2)))*100),E6_s:E6_f,1)&lt;VLOOKUP((10^(LOG(C2)-INT(LOG(C2)))*100),E6_s:E6_f,2)-(10^(LOG(C2)-INT(LOG(C2)))*100),VLOOKUP((10^(LOG(C2)-INT(LOG(C2)))*100),E6_s:E6_f,1),VLOOKUP((10^(LOG(C2)-INT(LOG(C2)))*100),E6_s:E6_f,2)))*10^INT(LOG(C2))/100</f>
        <v>150</v>
      </c>
      <c r="E4" s="73">
        <v>150</v>
      </c>
      <c r="F4" s="79">
        <v>220</v>
      </c>
      <c r="G4" s="80">
        <v>102</v>
      </c>
      <c r="H4" s="74">
        <v>105</v>
      </c>
      <c r="J4" s="86"/>
      <c r="K4" s="78"/>
      <c r="L4" s="87"/>
      <c r="M4" s="64"/>
      <c r="N4" s="83"/>
    </row>
    <row r="5" spans="2:14" ht="12.75">
      <c r="B5" s="88" t="s">
        <v>330</v>
      </c>
      <c r="C5" s="89">
        <f>(IF((10^(LOG(C2)-INT(LOG(C2)))*100)-VLOOKUP((10^(LOG(C2)-INT(LOG(C2)))*100),E12_s:E12_f,1)&lt;VLOOKUP((10^(LOG(C2)-INT(LOG(C2)))*100),E12_s:E12_f,2)-(10^(LOG(C2)-INT(LOG(C2)))*100),VLOOKUP((10^(LOG(C2)-INT(LOG(C2)))*100),E12_s:E12_f,1),VLOOKUP((10^(LOG(C2)-INT(LOG(C2)))*100),E12_s:E12_f,2)))*10^INT(LOG(C2))/100</f>
        <v>120</v>
      </c>
      <c r="E5" s="79">
        <v>220</v>
      </c>
      <c r="F5" s="73">
        <v>330</v>
      </c>
      <c r="G5" s="74">
        <v>105</v>
      </c>
      <c r="H5" s="80">
        <v>107</v>
      </c>
      <c r="J5" s="90" t="s">
        <v>331</v>
      </c>
      <c r="K5" s="83"/>
      <c r="L5" s="64"/>
      <c r="N5" s="83"/>
    </row>
    <row r="6" spans="2:14" ht="12.75">
      <c r="B6" s="88" t="s">
        <v>332</v>
      </c>
      <c r="C6" s="89">
        <f>(IF((10^(LOG(C2)-INT(LOG(C2)))*100)-VLOOKUP((10^(LOG(C2)-INT(LOG(C2)))*100),E24_s:E24_f,1)&lt;VLOOKUP((10^(LOG(C2)-INT(LOG(C2)))*100),E24_s:E24_f,2)-(10^(LOG(C2)-INT(LOG(C2)))*100),VLOOKUP((10^(LOG(C2)-INT(LOG(C2)))*100),E24_s:E24_f,1),VLOOKUP((10^(LOG(C2)-INT(LOG(C2)))*100),E24_s:E24_f,2)))*10^INT(LOG(C2))/100</f>
        <v>130</v>
      </c>
      <c r="E6" s="73">
        <v>330</v>
      </c>
      <c r="F6" s="79">
        <v>470</v>
      </c>
      <c r="G6" s="80">
        <v>107</v>
      </c>
      <c r="H6" s="74">
        <v>110</v>
      </c>
      <c r="J6" s="83">
        <v>1</v>
      </c>
      <c r="K6" s="83">
        <v>1.2</v>
      </c>
      <c r="L6" s="91">
        <f>IF((10^(LOG(K2)-INT(LOG(K2))))-VLOOKUP((10^(LOG(K2)-INT(LOG(K2)))),c_s1:C_f1,1)&lt;VLOOKUP((10^(LOG(K2)-INT(LOG(K2)))),c_s1:C_f1,2)-(10^(LOG(K2)-INT(LOG(K2)))),VLOOKUP((10^(LOG(K2)-INT(LOG(K2)))),c_s1:C_f1,1),VLOOKUP((10^(LOG(K2)-INT(LOG(K2)))),c_s1:C_f1,2))</f>
        <v>1</v>
      </c>
      <c r="N6" s="83"/>
    </row>
    <row r="7" spans="2:14" ht="12.75">
      <c r="B7" s="88" t="s">
        <v>333</v>
      </c>
      <c r="C7" s="89">
        <f>(IF((10^(LOG(C2)-INT(LOG(C2)))*100)-VLOOKUP((10^(LOG(C2)-INT(LOG(C2)))*100),E48_s:E48_f,1)&lt;VLOOKUP((10^(LOG(C2)-INT(LOG(C2)))*100),E48_s:E48_f,2)-(10^(LOG(C2)-INT(LOG(C2)))*100),VLOOKUP((10^(LOG(C2)-INT(LOG(C2)))*100),E48_s:E48_f,1),VLOOKUP((10^(LOG(C2)-INT(LOG(C2)))*100),E48_s:E48_f,2)))*10^INT(LOG(C2))/100</f>
        <v>127</v>
      </c>
      <c r="D7" s="92"/>
      <c r="E7" s="79">
        <v>470</v>
      </c>
      <c r="F7" s="73">
        <v>680</v>
      </c>
      <c r="G7" s="74">
        <v>110</v>
      </c>
      <c r="H7" s="80">
        <v>113</v>
      </c>
      <c r="J7" s="83">
        <v>1.2</v>
      </c>
      <c r="K7" s="83">
        <v>1.5</v>
      </c>
      <c r="L7" s="93"/>
      <c r="N7" s="83"/>
    </row>
    <row r="8" spans="2:14" ht="12.75">
      <c r="B8" s="94" t="s">
        <v>334</v>
      </c>
      <c r="C8" s="95">
        <f>(IF((10^(LOG(C2)-INT(LOG(C2)))*100)-VLOOKUP((10^(LOG(C2)-INT(LOG(C2)))*100),E96_s:E96_f,1)&lt;VLOOKUP((10^(LOG(C2)-INT(LOG(C2)))*100),E96_s:E96_f,2)-(10^(LOG(C2)-INT(LOG(C2)))*100),VLOOKUP((10^(LOG(C2)-INT(LOG(C2)))*100),E96_s:E96_f,1),VLOOKUP((10^(LOG(C2)-INT(LOG(C2)))*100),E96_s:E96_f,2)))*10^INT(LOG(C2))/100</f>
        <v>127</v>
      </c>
      <c r="D8" s="64"/>
      <c r="E8" s="73">
        <v>680</v>
      </c>
      <c r="F8" s="73">
        <v>1000</v>
      </c>
      <c r="G8" s="80">
        <v>113</v>
      </c>
      <c r="H8" s="74">
        <v>115</v>
      </c>
      <c r="J8" s="83">
        <v>1.5</v>
      </c>
      <c r="K8" s="83">
        <v>1.8</v>
      </c>
      <c r="L8" s="93"/>
      <c r="N8" s="83"/>
    </row>
    <row r="9" spans="2:14" ht="12.75" customHeight="1">
      <c r="B9" s="92"/>
      <c r="C9" s="92"/>
      <c r="D9" s="92"/>
      <c r="E9" s="96" t="s">
        <v>335</v>
      </c>
      <c r="F9" s="96"/>
      <c r="G9" s="74">
        <v>115</v>
      </c>
      <c r="H9" s="80">
        <v>118</v>
      </c>
      <c r="J9" s="83">
        <v>1.8</v>
      </c>
      <c r="K9" s="83">
        <v>2.2</v>
      </c>
      <c r="L9" s="64"/>
      <c r="N9" s="83"/>
    </row>
    <row r="10" spans="5:14" ht="12.75">
      <c r="E10" s="97">
        <v>100</v>
      </c>
      <c r="F10" s="96">
        <v>120</v>
      </c>
      <c r="G10" s="80">
        <v>118</v>
      </c>
      <c r="H10" s="74">
        <v>121</v>
      </c>
      <c r="J10" s="83">
        <v>2.2</v>
      </c>
      <c r="K10" s="83">
        <v>2.7</v>
      </c>
      <c r="L10" s="64"/>
      <c r="N10" s="83"/>
    </row>
    <row r="11" spans="5:14" ht="12.75">
      <c r="E11" s="96">
        <v>120</v>
      </c>
      <c r="F11" s="96">
        <v>150</v>
      </c>
      <c r="G11" s="74">
        <v>121</v>
      </c>
      <c r="H11" s="80">
        <v>124</v>
      </c>
      <c r="J11" s="83">
        <v>2.7</v>
      </c>
      <c r="K11" s="83">
        <v>3.3</v>
      </c>
      <c r="L11" s="64"/>
      <c r="N11" s="83"/>
    </row>
    <row r="12" spans="3:14" ht="12.75">
      <c r="C12" s="98"/>
      <c r="E12" s="96">
        <v>150</v>
      </c>
      <c r="F12" s="96">
        <v>180</v>
      </c>
      <c r="G12" s="80">
        <v>124</v>
      </c>
      <c r="H12" s="74">
        <v>127</v>
      </c>
      <c r="J12" s="83">
        <v>3.3</v>
      </c>
      <c r="K12" s="83">
        <v>3.9</v>
      </c>
      <c r="L12" s="64"/>
      <c r="N12" s="83"/>
    </row>
    <row r="13" spans="1:14" ht="12.75">
      <c r="A13" s="92"/>
      <c r="B13" s="92"/>
      <c r="C13" s="92"/>
      <c r="D13" s="92"/>
      <c r="E13" s="96">
        <v>180</v>
      </c>
      <c r="F13" s="97">
        <v>220</v>
      </c>
      <c r="G13" s="74">
        <v>127</v>
      </c>
      <c r="H13" s="80">
        <v>130</v>
      </c>
      <c r="J13" s="83">
        <v>3.9</v>
      </c>
      <c r="K13" s="83">
        <v>4.7</v>
      </c>
      <c r="L13" s="64"/>
      <c r="N13" s="83"/>
    </row>
    <row r="14" spans="1:14" ht="12.75">
      <c r="A14" s="92"/>
      <c r="B14" s="92"/>
      <c r="C14" s="92"/>
      <c r="D14" s="99"/>
      <c r="E14" s="97">
        <v>220</v>
      </c>
      <c r="F14" s="96">
        <v>270</v>
      </c>
      <c r="G14" s="80">
        <v>130</v>
      </c>
      <c r="H14" s="74">
        <v>133</v>
      </c>
      <c r="J14" s="83">
        <v>4.7</v>
      </c>
      <c r="K14" s="83">
        <v>5.6</v>
      </c>
      <c r="L14" s="64"/>
      <c r="N14" s="83"/>
    </row>
    <row r="15" spans="1:14" ht="12.75">
      <c r="A15" s="100"/>
      <c r="B15" s="101"/>
      <c r="C15" s="92"/>
      <c r="D15" s="98"/>
      <c r="E15" s="96">
        <v>270</v>
      </c>
      <c r="F15" s="96">
        <v>330</v>
      </c>
      <c r="G15" s="74">
        <v>133</v>
      </c>
      <c r="H15" s="80">
        <v>137</v>
      </c>
      <c r="J15" s="83">
        <v>5.6</v>
      </c>
      <c r="K15" s="83">
        <v>6.8</v>
      </c>
      <c r="L15" s="64"/>
      <c r="N15" s="83"/>
    </row>
    <row r="16" spans="1:14" ht="12.75">
      <c r="A16" s="100"/>
      <c r="B16" s="101"/>
      <c r="C16" s="92"/>
      <c r="D16" s="98"/>
      <c r="E16" s="96">
        <v>330</v>
      </c>
      <c r="F16" s="96">
        <v>390</v>
      </c>
      <c r="G16" s="80">
        <v>137</v>
      </c>
      <c r="H16" s="74">
        <v>140</v>
      </c>
      <c r="J16" s="83">
        <v>6.8</v>
      </c>
      <c r="K16" s="83">
        <v>8.2</v>
      </c>
      <c r="L16" s="64"/>
      <c r="N16" s="83"/>
    </row>
    <row r="17" spans="1:14" ht="12.75">
      <c r="A17" s="100"/>
      <c r="B17" s="101"/>
      <c r="C17" s="92"/>
      <c r="D17" s="98"/>
      <c r="E17" s="96">
        <v>390</v>
      </c>
      <c r="F17" s="97">
        <v>470</v>
      </c>
      <c r="G17" s="74">
        <v>140</v>
      </c>
      <c r="H17" s="80">
        <v>143</v>
      </c>
      <c r="J17" s="83">
        <v>8.2</v>
      </c>
      <c r="K17" s="83">
        <v>10</v>
      </c>
      <c r="L17" s="64"/>
      <c r="N17" s="83"/>
    </row>
    <row r="18" spans="1:14" ht="12.75">
      <c r="A18" s="100"/>
      <c r="B18" s="101"/>
      <c r="C18" s="92"/>
      <c r="D18" s="98"/>
      <c r="E18" s="97">
        <v>470</v>
      </c>
      <c r="F18" s="96">
        <v>560</v>
      </c>
      <c r="G18" s="80">
        <v>143</v>
      </c>
      <c r="H18" s="74">
        <v>147</v>
      </c>
      <c r="J18" s="90" t="s">
        <v>336</v>
      </c>
      <c r="K18" s="83"/>
      <c r="L18" s="83"/>
      <c r="N18" s="83"/>
    </row>
    <row r="19" spans="1:14" ht="12.75">
      <c r="A19" s="100"/>
      <c r="B19" s="101"/>
      <c r="C19" s="92"/>
      <c r="D19" s="98"/>
      <c r="E19" s="96">
        <v>560</v>
      </c>
      <c r="F19" s="96">
        <v>680</v>
      </c>
      <c r="G19" s="74">
        <v>147</v>
      </c>
      <c r="H19" s="80">
        <v>150</v>
      </c>
      <c r="J19" s="83">
        <v>1</v>
      </c>
      <c r="K19" s="83">
        <v>1.5</v>
      </c>
      <c r="L19" s="91">
        <f>IF((10^(LOG(K2)-INT(LOG(K2))))-VLOOKUP((10^(LOG(K2)-INT(LOG(K2)))),C_s2:C_f2,1)&lt;VLOOKUP((10^(LOG(K2)-INT(LOG(K2)))),C_s2:C_f2,2)-(10^(LOG(K2)-INT(LOG(K2)))),VLOOKUP((10^(LOG(K2)-INT(LOG(K2)))),C_s2:C_f2,1),VLOOKUP((10^(LOG(K2)-INT(LOG(K2)))),C_s2:C_f2,2))</f>
        <v>1</v>
      </c>
      <c r="N19" s="83"/>
    </row>
    <row r="20" spans="1:14" ht="12.75">
      <c r="A20" s="100"/>
      <c r="B20" s="101"/>
      <c r="C20" s="92"/>
      <c r="D20" s="98"/>
      <c r="E20" s="102">
        <v>680</v>
      </c>
      <c r="F20" s="96">
        <v>820</v>
      </c>
      <c r="G20" s="80">
        <v>150</v>
      </c>
      <c r="H20" s="74">
        <v>154</v>
      </c>
      <c r="J20" s="83">
        <v>1.5</v>
      </c>
      <c r="K20" s="83">
        <v>2.2</v>
      </c>
      <c r="N20" s="83"/>
    </row>
    <row r="21" spans="1:14" ht="12.75">
      <c r="A21" s="100"/>
      <c r="B21" s="101"/>
      <c r="C21" s="92"/>
      <c r="D21" s="98"/>
      <c r="E21" s="102">
        <v>820</v>
      </c>
      <c r="F21" s="96">
        <v>1000</v>
      </c>
      <c r="G21" s="74">
        <v>154</v>
      </c>
      <c r="H21" s="80">
        <v>158</v>
      </c>
      <c r="J21" s="83">
        <v>2.2</v>
      </c>
      <c r="K21" s="83">
        <v>3.3</v>
      </c>
      <c r="L21" s="91"/>
      <c r="N21" s="83"/>
    </row>
    <row r="22" spans="1:14" ht="12.75" customHeight="1">
      <c r="A22" s="100"/>
      <c r="B22" s="101"/>
      <c r="C22" s="92"/>
      <c r="D22" s="98"/>
      <c r="E22" s="103" t="s">
        <v>337</v>
      </c>
      <c r="F22" s="103"/>
      <c r="G22" s="80">
        <v>158</v>
      </c>
      <c r="H22" s="74">
        <v>162</v>
      </c>
      <c r="J22" s="83">
        <v>3.3</v>
      </c>
      <c r="K22" s="83">
        <v>4.7</v>
      </c>
      <c r="L22" s="91"/>
      <c r="N22" s="83"/>
    </row>
    <row r="23" spans="1:12" ht="12.75">
      <c r="A23" s="100"/>
      <c r="B23" s="101"/>
      <c r="C23" s="92"/>
      <c r="D23" s="98"/>
      <c r="E23" s="104">
        <v>100</v>
      </c>
      <c r="F23" s="105">
        <v>110</v>
      </c>
      <c r="G23" s="74">
        <v>162</v>
      </c>
      <c r="H23" s="80">
        <v>165</v>
      </c>
      <c r="J23" s="83">
        <v>4.7</v>
      </c>
      <c r="K23" s="83">
        <v>6.8</v>
      </c>
      <c r="L23" s="64"/>
    </row>
    <row r="24" spans="1:12" ht="12.75">
      <c r="A24" s="100"/>
      <c r="B24" s="101"/>
      <c r="C24" s="92"/>
      <c r="D24" s="98"/>
      <c r="E24" s="105">
        <v>110</v>
      </c>
      <c r="F24" s="105">
        <v>120</v>
      </c>
      <c r="G24" s="80">
        <v>165</v>
      </c>
      <c r="H24" s="74">
        <v>169</v>
      </c>
      <c r="J24" s="83">
        <v>6.8</v>
      </c>
      <c r="K24" s="83">
        <v>10</v>
      </c>
      <c r="L24" s="64"/>
    </row>
    <row r="25" spans="1:12" ht="12.75">
      <c r="A25" s="100"/>
      <c r="B25" s="101"/>
      <c r="C25" s="92"/>
      <c r="D25" s="98"/>
      <c r="E25" s="105">
        <v>120</v>
      </c>
      <c r="F25" s="105">
        <v>130</v>
      </c>
      <c r="G25" s="74">
        <v>169</v>
      </c>
      <c r="H25" s="80">
        <v>174</v>
      </c>
      <c r="J25" s="106"/>
      <c r="K25" s="106"/>
      <c r="L25" s="106"/>
    </row>
    <row r="26" spans="1:12" ht="12.75">
      <c r="A26" s="100"/>
      <c r="B26" s="101"/>
      <c r="C26" s="92"/>
      <c r="D26" s="98"/>
      <c r="E26" s="105">
        <v>130</v>
      </c>
      <c r="F26" s="105">
        <v>150</v>
      </c>
      <c r="G26" s="80">
        <v>174</v>
      </c>
      <c r="H26" s="74">
        <v>178</v>
      </c>
      <c r="J26" s="106"/>
      <c r="K26" s="106"/>
      <c r="L26" s="106"/>
    </row>
    <row r="27" spans="1:12" ht="12.75">
      <c r="A27" s="100"/>
      <c r="B27" s="101"/>
      <c r="C27" s="92"/>
      <c r="D27" s="98"/>
      <c r="E27" s="105">
        <v>150</v>
      </c>
      <c r="F27" s="105">
        <v>160</v>
      </c>
      <c r="G27" s="74">
        <v>178</v>
      </c>
      <c r="H27" s="80">
        <v>182</v>
      </c>
      <c r="I27" s="107"/>
      <c r="J27" s="106"/>
      <c r="K27" s="106"/>
      <c r="L27" s="106"/>
    </row>
    <row r="28" spans="1:12" ht="12.75">
      <c r="A28" s="100"/>
      <c r="B28" s="101"/>
      <c r="C28" s="92"/>
      <c r="D28" s="98"/>
      <c r="E28" s="105">
        <v>160</v>
      </c>
      <c r="F28" s="105">
        <v>180</v>
      </c>
      <c r="G28" s="80">
        <v>182</v>
      </c>
      <c r="H28" s="74">
        <v>187</v>
      </c>
      <c r="I28" s="107"/>
      <c r="J28" s="106"/>
      <c r="K28" s="106"/>
      <c r="L28" s="106"/>
    </row>
    <row r="29" spans="1:12" ht="12.75">
      <c r="A29" s="100"/>
      <c r="B29" s="101"/>
      <c r="C29" s="92"/>
      <c r="D29" s="98"/>
      <c r="E29" s="105">
        <v>180</v>
      </c>
      <c r="F29" s="108">
        <v>200</v>
      </c>
      <c r="G29" s="74">
        <v>187</v>
      </c>
      <c r="H29" s="80">
        <v>191</v>
      </c>
      <c r="I29" s="107"/>
      <c r="J29" s="106"/>
      <c r="K29" s="106"/>
      <c r="L29" s="106"/>
    </row>
    <row r="30" spans="1:12" ht="12.75">
      <c r="A30" s="100"/>
      <c r="B30" s="101"/>
      <c r="C30" s="92"/>
      <c r="D30" s="98"/>
      <c r="E30" s="108">
        <v>200</v>
      </c>
      <c r="F30" s="104">
        <v>220</v>
      </c>
      <c r="G30" s="80">
        <v>191</v>
      </c>
      <c r="H30" s="74">
        <v>196</v>
      </c>
      <c r="I30" s="107"/>
      <c r="J30" s="106"/>
      <c r="K30" s="106"/>
      <c r="L30" s="106"/>
    </row>
    <row r="31" spans="1:14" ht="12.75">
      <c r="A31" s="100"/>
      <c r="B31" s="101"/>
      <c r="C31" s="92"/>
      <c r="D31" s="98"/>
      <c r="E31" s="104">
        <v>220</v>
      </c>
      <c r="F31" s="105">
        <v>240</v>
      </c>
      <c r="G31" s="74">
        <v>196</v>
      </c>
      <c r="H31" s="80">
        <v>200</v>
      </c>
      <c r="I31" s="107"/>
      <c r="J31" s="106"/>
      <c r="K31" s="106"/>
      <c r="L31" s="106"/>
      <c r="N31" s="109"/>
    </row>
    <row r="32" spans="1:14" ht="12.75">
      <c r="A32" s="100"/>
      <c r="B32" s="101"/>
      <c r="C32" s="92"/>
      <c r="D32" s="98"/>
      <c r="E32" s="105">
        <v>240</v>
      </c>
      <c r="F32" s="105">
        <v>270</v>
      </c>
      <c r="G32" s="80">
        <v>200</v>
      </c>
      <c r="H32" s="74">
        <v>205</v>
      </c>
      <c r="I32" s="107"/>
      <c r="J32" s="106"/>
      <c r="K32" s="106"/>
      <c r="L32" s="106"/>
      <c r="N32" s="109"/>
    </row>
    <row r="33" spans="1:12" s="109" customFormat="1" ht="12.75">
      <c r="A33" s="100"/>
      <c r="B33" s="101"/>
      <c r="C33" s="92"/>
      <c r="D33" s="98"/>
      <c r="E33" s="105">
        <v>270</v>
      </c>
      <c r="F33" s="105">
        <v>300</v>
      </c>
      <c r="G33" s="74">
        <v>205</v>
      </c>
      <c r="H33" s="80">
        <v>210</v>
      </c>
      <c r="I33" s="110"/>
      <c r="J33" s="106"/>
      <c r="K33" s="106"/>
      <c r="L33" s="106"/>
    </row>
    <row r="34" spans="1:12" s="109" customFormat="1" ht="12.75">
      <c r="A34" s="111"/>
      <c r="B34" s="111"/>
      <c r="C34" s="111"/>
      <c r="D34" s="111"/>
      <c r="E34" s="105">
        <v>300</v>
      </c>
      <c r="F34" s="105">
        <v>330</v>
      </c>
      <c r="G34" s="80">
        <v>210</v>
      </c>
      <c r="H34" s="74">
        <v>215</v>
      </c>
      <c r="I34" s="65"/>
      <c r="J34" s="106"/>
      <c r="K34" s="106"/>
      <c r="L34" s="106"/>
    </row>
    <row r="35" spans="5:12" s="109" customFormat="1" ht="12.75">
      <c r="E35" s="105">
        <v>330</v>
      </c>
      <c r="F35" s="105">
        <v>360</v>
      </c>
      <c r="G35" s="74">
        <v>215</v>
      </c>
      <c r="H35" s="80">
        <v>221</v>
      </c>
      <c r="I35" s="65"/>
      <c r="J35" s="106"/>
      <c r="K35" s="106"/>
      <c r="L35" s="106"/>
    </row>
    <row r="36" spans="5:14" s="109" customFormat="1" ht="12.75">
      <c r="E36" s="105">
        <v>360</v>
      </c>
      <c r="F36" s="105">
        <v>390</v>
      </c>
      <c r="G36" s="80">
        <v>221</v>
      </c>
      <c r="H36" s="74">
        <v>226</v>
      </c>
      <c r="I36" s="65"/>
      <c r="J36" s="106"/>
      <c r="K36" s="106"/>
      <c r="L36" s="106"/>
      <c r="N36" s="63"/>
    </row>
    <row r="37" spans="5:14" s="109" customFormat="1" ht="12.75">
      <c r="E37" s="105">
        <v>390</v>
      </c>
      <c r="F37" s="108">
        <v>430</v>
      </c>
      <c r="G37" s="74">
        <v>226</v>
      </c>
      <c r="H37" s="80">
        <v>232</v>
      </c>
      <c r="I37" s="107"/>
      <c r="J37" s="106"/>
      <c r="K37" s="106"/>
      <c r="L37" s="106"/>
      <c r="N37" s="63"/>
    </row>
    <row r="38" spans="5:12" ht="12.75">
      <c r="E38" s="108">
        <v>430</v>
      </c>
      <c r="F38" s="104">
        <v>470</v>
      </c>
      <c r="G38" s="80">
        <v>232</v>
      </c>
      <c r="H38" s="74">
        <v>237</v>
      </c>
      <c r="I38" s="107"/>
      <c r="J38" s="106"/>
      <c r="K38" s="106"/>
      <c r="L38" s="106"/>
    </row>
    <row r="39" spans="5:12" ht="12.75">
      <c r="E39" s="104">
        <v>470</v>
      </c>
      <c r="F39" s="105">
        <v>510</v>
      </c>
      <c r="G39" s="74">
        <v>237</v>
      </c>
      <c r="H39" s="80">
        <v>243</v>
      </c>
      <c r="I39" s="107"/>
      <c r="J39" s="106"/>
      <c r="K39" s="106"/>
      <c r="L39" s="106"/>
    </row>
    <row r="40" spans="5:12" ht="12.75">
      <c r="E40" s="105">
        <v>510</v>
      </c>
      <c r="F40" s="105">
        <v>560</v>
      </c>
      <c r="G40" s="80">
        <v>243</v>
      </c>
      <c r="H40" s="74">
        <v>249</v>
      </c>
      <c r="I40" s="107"/>
      <c r="J40" s="106"/>
      <c r="K40" s="106"/>
      <c r="L40" s="106"/>
    </row>
    <row r="41" spans="5:12" ht="12.75">
      <c r="E41" s="105">
        <v>560</v>
      </c>
      <c r="F41" s="105">
        <v>620</v>
      </c>
      <c r="G41" s="74">
        <v>249</v>
      </c>
      <c r="H41" s="80">
        <v>255</v>
      </c>
      <c r="I41" s="107"/>
      <c r="J41" s="106"/>
      <c r="K41" s="106"/>
      <c r="L41" s="106"/>
    </row>
    <row r="42" spans="5:12" ht="12.75">
      <c r="E42" s="105">
        <v>620</v>
      </c>
      <c r="F42" s="105">
        <v>680</v>
      </c>
      <c r="G42" s="80">
        <v>255</v>
      </c>
      <c r="H42" s="74">
        <v>261</v>
      </c>
      <c r="I42" s="107"/>
      <c r="J42" s="106"/>
      <c r="K42" s="106"/>
      <c r="L42" s="106"/>
    </row>
    <row r="43" spans="5:12" ht="12.75">
      <c r="E43" s="105">
        <v>680</v>
      </c>
      <c r="F43" s="105">
        <v>750</v>
      </c>
      <c r="G43" s="74">
        <v>261</v>
      </c>
      <c r="H43" s="80">
        <v>267</v>
      </c>
      <c r="I43" s="107"/>
      <c r="J43" s="106"/>
      <c r="K43" s="106"/>
      <c r="L43" s="106"/>
    </row>
    <row r="44" spans="5:12" ht="12.75">
      <c r="E44" s="105">
        <v>750</v>
      </c>
      <c r="F44" s="105">
        <v>820</v>
      </c>
      <c r="G44" s="80">
        <v>267</v>
      </c>
      <c r="H44" s="74">
        <v>274</v>
      </c>
      <c r="J44" s="106"/>
      <c r="K44" s="106"/>
      <c r="L44" s="106"/>
    </row>
    <row r="45" spans="5:12" ht="12.75">
      <c r="E45" s="105">
        <v>820</v>
      </c>
      <c r="F45" s="108">
        <v>910</v>
      </c>
      <c r="G45" s="74">
        <v>274</v>
      </c>
      <c r="H45" s="80">
        <v>280</v>
      </c>
      <c r="J45" s="106"/>
      <c r="K45" s="106"/>
      <c r="L45" s="106"/>
    </row>
    <row r="46" spans="5:12" ht="12.75">
      <c r="E46" s="108">
        <v>910</v>
      </c>
      <c r="F46" s="108">
        <v>1000</v>
      </c>
      <c r="G46" s="80">
        <v>280</v>
      </c>
      <c r="H46" s="74">
        <v>287</v>
      </c>
      <c r="J46" s="106"/>
      <c r="K46" s="106"/>
      <c r="L46" s="106"/>
    </row>
    <row r="47" spans="5:12" ht="12.75" customHeight="1">
      <c r="E47" s="112" t="s">
        <v>338</v>
      </c>
      <c r="F47" s="112"/>
      <c r="G47" s="74">
        <v>287</v>
      </c>
      <c r="H47" s="80">
        <v>294</v>
      </c>
      <c r="J47" s="106"/>
      <c r="K47" s="106"/>
      <c r="L47" s="106"/>
    </row>
    <row r="48" spans="5:12" ht="12.75">
      <c r="E48" s="112">
        <v>100</v>
      </c>
      <c r="F48" s="112">
        <v>105</v>
      </c>
      <c r="G48" s="80">
        <v>294</v>
      </c>
      <c r="H48" s="74">
        <v>301</v>
      </c>
      <c r="J48" s="106"/>
      <c r="K48" s="106"/>
      <c r="L48" s="106"/>
    </row>
    <row r="49" spans="5:12" ht="12.75">
      <c r="E49" s="112">
        <v>105</v>
      </c>
      <c r="F49" s="112">
        <v>110</v>
      </c>
      <c r="G49" s="74">
        <v>301</v>
      </c>
      <c r="H49" s="80">
        <v>309</v>
      </c>
      <c r="J49" s="106"/>
      <c r="K49" s="106"/>
      <c r="L49" s="106"/>
    </row>
    <row r="50" spans="5:12" ht="12.75">
      <c r="E50" s="112">
        <v>110</v>
      </c>
      <c r="F50" s="112">
        <v>115</v>
      </c>
      <c r="G50" s="80">
        <v>309</v>
      </c>
      <c r="H50" s="74">
        <v>316</v>
      </c>
      <c r="J50" s="106"/>
      <c r="K50" s="106"/>
      <c r="L50" s="106"/>
    </row>
    <row r="51" spans="5:12" ht="12.75">
      <c r="E51" s="112">
        <v>115</v>
      </c>
      <c r="F51" s="112">
        <v>121</v>
      </c>
      <c r="G51" s="74">
        <v>316</v>
      </c>
      <c r="H51" s="80">
        <v>324</v>
      </c>
      <c r="J51" s="106"/>
      <c r="K51" s="106"/>
      <c r="L51" s="106"/>
    </row>
    <row r="52" spans="5:12" ht="12.75">
      <c r="E52" s="112">
        <v>121</v>
      </c>
      <c r="F52" s="112">
        <v>127</v>
      </c>
      <c r="G52" s="80">
        <v>324</v>
      </c>
      <c r="H52" s="74">
        <v>332</v>
      </c>
      <c r="J52" s="106"/>
      <c r="K52" s="106"/>
      <c r="L52" s="106"/>
    </row>
    <row r="53" spans="5:12" ht="12.75">
      <c r="E53" s="112">
        <v>127</v>
      </c>
      <c r="F53" s="112">
        <v>133</v>
      </c>
      <c r="G53" s="74">
        <v>332</v>
      </c>
      <c r="H53" s="80">
        <v>340</v>
      </c>
      <c r="J53" s="106"/>
      <c r="K53" s="106"/>
      <c r="L53" s="106"/>
    </row>
    <row r="54" spans="5:12" ht="12.75">
      <c r="E54" s="112">
        <v>133</v>
      </c>
      <c r="F54" s="112">
        <v>140</v>
      </c>
      <c r="G54" s="80">
        <v>340</v>
      </c>
      <c r="H54" s="74">
        <v>348</v>
      </c>
      <c r="J54" s="106"/>
      <c r="K54" s="106"/>
      <c r="L54" s="106"/>
    </row>
    <row r="55" spans="5:12" ht="12.75">
      <c r="E55" s="112">
        <v>140</v>
      </c>
      <c r="F55" s="112">
        <v>147</v>
      </c>
      <c r="G55" s="74">
        <v>348</v>
      </c>
      <c r="H55" s="80">
        <v>357</v>
      </c>
      <c r="J55" s="106"/>
      <c r="K55" s="106"/>
      <c r="L55" s="106"/>
    </row>
    <row r="56" spans="5:12" ht="12.75">
      <c r="E56" s="112">
        <v>147</v>
      </c>
      <c r="F56" s="112">
        <v>154</v>
      </c>
      <c r="G56" s="80">
        <v>357</v>
      </c>
      <c r="H56" s="74">
        <v>365</v>
      </c>
      <c r="J56" s="106"/>
      <c r="K56" s="106"/>
      <c r="L56" s="106"/>
    </row>
    <row r="57" spans="5:12" ht="12.75">
      <c r="E57" s="112">
        <v>154</v>
      </c>
      <c r="F57" s="112">
        <v>162</v>
      </c>
      <c r="G57" s="74">
        <v>365</v>
      </c>
      <c r="H57" s="80">
        <v>374</v>
      </c>
      <c r="J57" s="106"/>
      <c r="K57" s="106"/>
      <c r="L57" s="106"/>
    </row>
    <row r="58" spans="5:12" ht="12.75">
      <c r="E58" s="112">
        <v>162</v>
      </c>
      <c r="F58" s="112">
        <v>169</v>
      </c>
      <c r="G58" s="80">
        <v>374</v>
      </c>
      <c r="H58" s="74">
        <v>383</v>
      </c>
      <c r="J58" s="106"/>
      <c r="K58" s="106"/>
      <c r="L58" s="106"/>
    </row>
    <row r="59" spans="5:12" ht="12.75">
      <c r="E59" s="112">
        <v>169</v>
      </c>
      <c r="F59" s="112">
        <v>178</v>
      </c>
      <c r="G59" s="74">
        <v>383</v>
      </c>
      <c r="H59" s="80">
        <v>392</v>
      </c>
      <c r="J59" s="106"/>
      <c r="K59" s="106"/>
      <c r="L59" s="106"/>
    </row>
    <row r="60" spans="5:12" ht="12.75">
      <c r="E60" s="112">
        <v>178</v>
      </c>
      <c r="F60" s="112">
        <v>187</v>
      </c>
      <c r="G60" s="80">
        <v>392</v>
      </c>
      <c r="H60" s="74">
        <v>402</v>
      </c>
      <c r="J60" s="106"/>
      <c r="K60" s="106"/>
      <c r="L60" s="106"/>
    </row>
    <row r="61" spans="5:12" ht="12.75">
      <c r="E61" s="112">
        <v>187</v>
      </c>
      <c r="F61" s="112">
        <v>196</v>
      </c>
      <c r="G61" s="74">
        <v>402</v>
      </c>
      <c r="H61" s="80">
        <v>412</v>
      </c>
      <c r="J61" s="106"/>
      <c r="K61" s="106"/>
      <c r="L61" s="106"/>
    </row>
    <row r="62" spans="5:12" ht="12.75">
      <c r="E62" s="112">
        <v>196</v>
      </c>
      <c r="F62" s="112">
        <v>205</v>
      </c>
      <c r="G62" s="80">
        <v>412</v>
      </c>
      <c r="H62" s="74">
        <v>422</v>
      </c>
      <c r="J62" s="106"/>
      <c r="K62" s="106"/>
      <c r="L62" s="106"/>
    </row>
    <row r="63" spans="5:12" ht="12.75">
      <c r="E63" s="112">
        <v>205</v>
      </c>
      <c r="F63" s="112">
        <v>215</v>
      </c>
      <c r="G63" s="74">
        <v>422</v>
      </c>
      <c r="H63" s="80">
        <v>432</v>
      </c>
      <c r="J63" s="106"/>
      <c r="K63" s="106"/>
      <c r="L63" s="106"/>
    </row>
    <row r="64" spans="5:12" ht="12.75">
      <c r="E64" s="112">
        <v>215</v>
      </c>
      <c r="F64" s="112">
        <v>226</v>
      </c>
      <c r="G64" s="80">
        <v>432</v>
      </c>
      <c r="H64" s="74">
        <v>442</v>
      </c>
      <c r="J64" s="106"/>
      <c r="K64" s="106"/>
      <c r="L64" s="106"/>
    </row>
    <row r="65" spans="5:12" ht="12.75">
      <c r="E65" s="112">
        <v>226</v>
      </c>
      <c r="F65" s="112">
        <v>237</v>
      </c>
      <c r="G65" s="74">
        <v>442</v>
      </c>
      <c r="H65" s="80">
        <v>453</v>
      </c>
      <c r="J65" s="106"/>
      <c r="K65" s="106"/>
      <c r="L65" s="106"/>
    </row>
    <row r="66" spans="5:12" ht="12.75">
      <c r="E66" s="112">
        <v>237</v>
      </c>
      <c r="F66" s="112">
        <v>249</v>
      </c>
      <c r="G66" s="80">
        <v>453</v>
      </c>
      <c r="H66" s="74">
        <v>464</v>
      </c>
      <c r="J66" s="106"/>
      <c r="K66" s="106"/>
      <c r="L66" s="106"/>
    </row>
    <row r="67" spans="5:12" ht="12.75">
      <c r="E67" s="112">
        <v>249</v>
      </c>
      <c r="F67" s="112">
        <v>261</v>
      </c>
      <c r="G67" s="74">
        <v>464</v>
      </c>
      <c r="H67" s="80">
        <v>475</v>
      </c>
      <c r="J67" s="106"/>
      <c r="K67" s="106"/>
      <c r="L67" s="106"/>
    </row>
    <row r="68" spans="5:12" ht="12.75">
      <c r="E68" s="112">
        <v>261</v>
      </c>
      <c r="F68" s="112">
        <v>274</v>
      </c>
      <c r="G68" s="80">
        <v>475</v>
      </c>
      <c r="H68" s="74">
        <v>487</v>
      </c>
      <c r="J68" s="106"/>
      <c r="K68" s="106"/>
      <c r="L68" s="106"/>
    </row>
    <row r="69" spans="5:12" ht="12.75">
      <c r="E69" s="112">
        <v>274</v>
      </c>
      <c r="F69" s="112">
        <v>287</v>
      </c>
      <c r="G69" s="74">
        <v>487</v>
      </c>
      <c r="H69" s="80">
        <v>499</v>
      </c>
      <c r="J69" s="106"/>
      <c r="K69" s="106"/>
      <c r="L69" s="106"/>
    </row>
    <row r="70" spans="5:12" ht="12.75">
      <c r="E70" s="112">
        <v>287</v>
      </c>
      <c r="F70" s="112">
        <v>301</v>
      </c>
      <c r="G70" s="80">
        <v>499</v>
      </c>
      <c r="H70" s="74">
        <v>511</v>
      </c>
      <c r="J70" s="106"/>
      <c r="K70" s="106"/>
      <c r="L70" s="106"/>
    </row>
    <row r="71" spans="5:12" ht="12.75">
      <c r="E71" s="112">
        <v>301</v>
      </c>
      <c r="F71" s="112">
        <v>316</v>
      </c>
      <c r="G71" s="74">
        <v>511</v>
      </c>
      <c r="H71" s="80">
        <v>523</v>
      </c>
      <c r="J71" s="106"/>
      <c r="K71" s="106"/>
      <c r="L71" s="106"/>
    </row>
    <row r="72" spans="5:12" ht="12.75">
      <c r="E72" s="112">
        <v>316</v>
      </c>
      <c r="F72" s="112">
        <v>332</v>
      </c>
      <c r="G72" s="80">
        <v>523</v>
      </c>
      <c r="H72" s="74">
        <v>536</v>
      </c>
      <c r="J72" s="106"/>
      <c r="K72" s="106"/>
      <c r="L72" s="106"/>
    </row>
    <row r="73" spans="5:12" ht="12.75">
      <c r="E73" s="112">
        <v>332</v>
      </c>
      <c r="F73" s="112">
        <v>348</v>
      </c>
      <c r="G73" s="74">
        <v>536</v>
      </c>
      <c r="H73" s="80">
        <v>549</v>
      </c>
      <c r="J73" s="106"/>
      <c r="K73" s="106"/>
      <c r="L73" s="106"/>
    </row>
    <row r="74" spans="5:12" ht="12.75">
      <c r="E74" s="112">
        <v>348</v>
      </c>
      <c r="F74" s="112">
        <v>365</v>
      </c>
      <c r="G74" s="80">
        <v>549</v>
      </c>
      <c r="H74" s="74">
        <v>562</v>
      </c>
      <c r="J74" s="106"/>
      <c r="K74" s="106"/>
      <c r="L74" s="106"/>
    </row>
    <row r="75" spans="5:12" ht="12.75">
      <c r="E75" s="112">
        <v>365</v>
      </c>
      <c r="F75" s="112">
        <v>383</v>
      </c>
      <c r="G75" s="74">
        <v>562</v>
      </c>
      <c r="H75" s="80">
        <v>576</v>
      </c>
      <c r="J75" s="113"/>
      <c r="K75" s="113"/>
      <c r="L75" s="113"/>
    </row>
    <row r="76" spans="5:12" ht="12.75">
      <c r="E76" s="112">
        <v>383</v>
      </c>
      <c r="F76" s="112">
        <v>402</v>
      </c>
      <c r="G76" s="80">
        <v>576</v>
      </c>
      <c r="H76" s="74">
        <v>590</v>
      </c>
      <c r="J76" s="113"/>
      <c r="K76" s="113"/>
      <c r="L76" s="113"/>
    </row>
    <row r="77" spans="5:12" ht="12.75">
      <c r="E77" s="112">
        <v>402</v>
      </c>
      <c r="F77" s="112">
        <v>422</v>
      </c>
      <c r="G77" s="74">
        <v>590</v>
      </c>
      <c r="H77" s="80">
        <v>604</v>
      </c>
      <c r="J77" s="113"/>
      <c r="K77" s="113"/>
      <c r="L77" s="113"/>
    </row>
    <row r="78" spans="5:12" ht="12.75">
      <c r="E78" s="112">
        <v>422</v>
      </c>
      <c r="F78" s="112">
        <v>442</v>
      </c>
      <c r="G78" s="80">
        <v>604</v>
      </c>
      <c r="H78" s="74">
        <v>619</v>
      </c>
      <c r="J78" s="113"/>
      <c r="K78" s="113"/>
      <c r="L78" s="113"/>
    </row>
    <row r="79" spans="5:12" ht="12.75">
      <c r="E79" s="112">
        <v>442</v>
      </c>
      <c r="F79" s="112">
        <v>464</v>
      </c>
      <c r="G79" s="74">
        <v>619</v>
      </c>
      <c r="H79" s="80">
        <v>634</v>
      </c>
      <c r="J79" s="113"/>
      <c r="K79" s="113"/>
      <c r="L79" s="113"/>
    </row>
    <row r="80" spans="5:12" ht="12.75">
      <c r="E80" s="112">
        <v>464</v>
      </c>
      <c r="F80" s="112">
        <v>487</v>
      </c>
      <c r="G80" s="80">
        <v>634</v>
      </c>
      <c r="H80" s="74">
        <v>649</v>
      </c>
      <c r="J80" s="113"/>
      <c r="K80" s="113"/>
      <c r="L80" s="113"/>
    </row>
    <row r="81" spans="5:12" ht="12.75">
      <c r="E81" s="112">
        <v>487</v>
      </c>
      <c r="F81" s="112">
        <v>511</v>
      </c>
      <c r="G81" s="74">
        <v>649</v>
      </c>
      <c r="H81" s="80">
        <v>665</v>
      </c>
      <c r="J81" s="113"/>
      <c r="K81" s="113"/>
      <c r="L81" s="113"/>
    </row>
    <row r="82" spans="5:12" ht="12.75">
      <c r="E82" s="112">
        <v>511</v>
      </c>
      <c r="F82" s="112">
        <v>536</v>
      </c>
      <c r="G82" s="80">
        <v>665</v>
      </c>
      <c r="H82" s="74">
        <v>681</v>
      </c>
      <c r="J82" s="113"/>
      <c r="K82" s="113"/>
      <c r="L82" s="113"/>
    </row>
    <row r="83" spans="5:12" ht="12.75">
      <c r="E83" s="112">
        <v>536</v>
      </c>
      <c r="F83" s="112">
        <v>562</v>
      </c>
      <c r="G83" s="74">
        <v>681</v>
      </c>
      <c r="H83" s="80">
        <v>698</v>
      </c>
      <c r="J83" s="113"/>
      <c r="K83" s="113"/>
      <c r="L83" s="113"/>
    </row>
    <row r="84" spans="5:12" ht="12.75">
      <c r="E84" s="112">
        <v>562</v>
      </c>
      <c r="F84" s="112">
        <v>590</v>
      </c>
      <c r="G84" s="80">
        <v>698</v>
      </c>
      <c r="H84" s="74">
        <v>715</v>
      </c>
      <c r="J84" s="113"/>
      <c r="K84" s="113"/>
      <c r="L84" s="113"/>
    </row>
    <row r="85" spans="5:12" ht="12.75">
      <c r="E85" s="112">
        <v>590</v>
      </c>
      <c r="F85" s="112">
        <v>619</v>
      </c>
      <c r="G85" s="74">
        <v>715</v>
      </c>
      <c r="H85" s="80">
        <v>732</v>
      </c>
      <c r="J85" s="113"/>
      <c r="K85" s="113"/>
      <c r="L85" s="113"/>
    </row>
    <row r="86" spans="5:12" ht="12.75">
      <c r="E86" s="112">
        <v>619</v>
      </c>
      <c r="F86" s="112">
        <v>649</v>
      </c>
      <c r="G86" s="80">
        <v>732</v>
      </c>
      <c r="H86" s="74">
        <v>750</v>
      </c>
      <c r="J86" s="113"/>
      <c r="K86" s="113"/>
      <c r="L86" s="113"/>
    </row>
    <row r="87" spans="5:12" ht="12.75">
      <c r="E87" s="112">
        <v>649</v>
      </c>
      <c r="F87" s="112">
        <v>681</v>
      </c>
      <c r="G87" s="74">
        <v>750</v>
      </c>
      <c r="H87" s="80">
        <v>768</v>
      </c>
      <c r="J87" s="113"/>
      <c r="K87" s="113"/>
      <c r="L87" s="113"/>
    </row>
    <row r="88" spans="5:12" ht="12.75">
      <c r="E88" s="112">
        <v>681</v>
      </c>
      <c r="F88" s="112">
        <v>715</v>
      </c>
      <c r="G88" s="80">
        <v>768</v>
      </c>
      <c r="H88" s="74">
        <v>787</v>
      </c>
      <c r="J88" s="113"/>
      <c r="K88" s="113"/>
      <c r="L88" s="113"/>
    </row>
    <row r="89" spans="5:12" ht="12.75">
      <c r="E89" s="112">
        <v>715</v>
      </c>
      <c r="F89" s="112">
        <v>750</v>
      </c>
      <c r="G89" s="74">
        <v>787</v>
      </c>
      <c r="H89" s="80">
        <v>806</v>
      </c>
      <c r="J89" s="113"/>
      <c r="K89" s="113"/>
      <c r="L89" s="113"/>
    </row>
    <row r="90" spans="5:12" ht="12.75">
      <c r="E90" s="112">
        <v>750</v>
      </c>
      <c r="F90" s="112">
        <v>787</v>
      </c>
      <c r="G90" s="80">
        <v>806</v>
      </c>
      <c r="H90" s="74">
        <v>825</v>
      </c>
      <c r="J90" s="113"/>
      <c r="K90" s="113"/>
      <c r="L90" s="113"/>
    </row>
    <row r="91" spans="5:12" ht="12.75">
      <c r="E91" s="112">
        <v>787</v>
      </c>
      <c r="F91" s="112">
        <v>825</v>
      </c>
      <c r="G91" s="74">
        <v>825</v>
      </c>
      <c r="H91" s="80">
        <v>845</v>
      </c>
      <c r="J91" s="113"/>
      <c r="K91" s="113"/>
      <c r="L91" s="113"/>
    </row>
    <row r="92" spans="5:12" ht="12.75">
      <c r="E92" s="112">
        <v>825</v>
      </c>
      <c r="F92" s="112">
        <v>866</v>
      </c>
      <c r="G92" s="80">
        <v>845</v>
      </c>
      <c r="H92" s="74">
        <v>866</v>
      </c>
      <c r="J92" s="113"/>
      <c r="K92" s="113"/>
      <c r="L92" s="113"/>
    </row>
    <row r="93" spans="5:12" ht="12.75">
      <c r="E93" s="112">
        <v>866</v>
      </c>
      <c r="F93" s="112">
        <v>909</v>
      </c>
      <c r="G93" s="74">
        <v>866</v>
      </c>
      <c r="H93" s="80">
        <v>887</v>
      </c>
      <c r="J93" s="113"/>
      <c r="K93" s="113"/>
      <c r="L93" s="113"/>
    </row>
    <row r="94" spans="5:12" ht="12.75">
      <c r="E94" s="112">
        <v>909</v>
      </c>
      <c r="F94" s="112">
        <v>953</v>
      </c>
      <c r="G94" s="80">
        <v>887</v>
      </c>
      <c r="H94" s="74">
        <v>909</v>
      </c>
      <c r="J94" s="113"/>
      <c r="K94" s="113"/>
      <c r="L94" s="113"/>
    </row>
    <row r="95" spans="5:12" ht="12.75">
      <c r="E95" s="112">
        <v>953</v>
      </c>
      <c r="F95" s="112">
        <v>1000</v>
      </c>
      <c r="G95" s="74">
        <v>909</v>
      </c>
      <c r="H95" s="80">
        <v>931</v>
      </c>
      <c r="J95" s="113"/>
      <c r="K95" s="113"/>
      <c r="L95" s="113"/>
    </row>
    <row r="96" spans="7:12" ht="12.75">
      <c r="G96" s="80">
        <v>931</v>
      </c>
      <c r="H96" s="74">
        <v>953</v>
      </c>
      <c r="J96" s="113"/>
      <c r="K96" s="113"/>
      <c r="L96" s="113"/>
    </row>
    <row r="97" spans="7:12" ht="12.75">
      <c r="G97" s="74">
        <v>953</v>
      </c>
      <c r="H97" s="80">
        <v>976</v>
      </c>
      <c r="J97" s="113"/>
      <c r="K97" s="113"/>
      <c r="L97" s="113"/>
    </row>
    <row r="98" spans="7:12" ht="12.75">
      <c r="G98" s="80">
        <v>976</v>
      </c>
      <c r="H98" s="80">
        <v>1000</v>
      </c>
      <c r="J98" s="113"/>
      <c r="K98" s="113"/>
      <c r="L98" s="113"/>
    </row>
    <row r="99" spans="10:12" ht="12.75">
      <c r="J99" s="113"/>
      <c r="K99" s="113"/>
      <c r="L99" s="113"/>
    </row>
    <row r="100" spans="10:12" ht="12.75">
      <c r="J100" s="113"/>
      <c r="K100" s="113"/>
      <c r="L100" s="113"/>
    </row>
    <row r="101" spans="10:12" ht="12.75">
      <c r="J101" s="113"/>
      <c r="K101" s="113"/>
      <c r="L101" s="113"/>
    </row>
    <row r="102" spans="10:12" ht="12.75">
      <c r="J102" s="113"/>
      <c r="K102" s="113"/>
      <c r="L102" s="113"/>
    </row>
    <row r="103" spans="10:12" ht="12.75">
      <c r="J103" s="113"/>
      <c r="K103" s="113"/>
      <c r="L103" s="113"/>
    </row>
    <row r="104" spans="10:12" ht="12.75">
      <c r="J104" s="113"/>
      <c r="K104" s="113"/>
      <c r="L104" s="113"/>
    </row>
    <row r="105" spans="10:12" ht="12.75">
      <c r="J105" s="113"/>
      <c r="K105" s="113"/>
      <c r="L105" s="113"/>
    </row>
    <row r="106" spans="10:12" ht="12.75">
      <c r="J106" s="113"/>
      <c r="K106" s="113"/>
      <c r="L106" s="113"/>
    </row>
    <row r="107" spans="10:12" ht="12.75">
      <c r="J107" s="113"/>
      <c r="K107" s="113"/>
      <c r="L107" s="113"/>
    </row>
    <row r="108" spans="10:12" ht="12.75">
      <c r="J108" s="113"/>
      <c r="K108" s="113"/>
      <c r="L108" s="113"/>
    </row>
    <row r="109" spans="10:12" ht="12.75">
      <c r="J109" s="113"/>
      <c r="K109" s="113"/>
      <c r="L109" s="113"/>
    </row>
    <row r="110" spans="10:12" ht="12.75">
      <c r="J110" s="113"/>
      <c r="K110" s="113"/>
      <c r="L110" s="113"/>
    </row>
    <row r="111" spans="10:12" ht="12.75">
      <c r="J111" s="113"/>
      <c r="K111" s="113"/>
      <c r="L111" s="113"/>
    </row>
    <row r="112" spans="10:12" ht="12.75">
      <c r="J112" s="113"/>
      <c r="K112" s="113"/>
      <c r="L112" s="113"/>
    </row>
    <row r="113" spans="10:12" ht="12.75">
      <c r="J113" s="113"/>
      <c r="K113" s="113"/>
      <c r="L113" s="113"/>
    </row>
    <row r="114" spans="10:12" ht="12.75">
      <c r="J114" s="113"/>
      <c r="K114" s="113"/>
      <c r="L114" s="113"/>
    </row>
    <row r="115" spans="10:12" ht="12.75">
      <c r="J115" s="113"/>
      <c r="K115" s="113"/>
      <c r="L115" s="113"/>
    </row>
    <row r="116" spans="10:12" ht="12.75">
      <c r="J116" s="113"/>
      <c r="K116" s="113"/>
      <c r="L116" s="113"/>
    </row>
    <row r="117" spans="10:12" ht="12.75">
      <c r="J117" s="113"/>
      <c r="K117" s="113"/>
      <c r="L117" s="113"/>
    </row>
    <row r="118" spans="10:12" ht="12.75">
      <c r="J118" s="113"/>
      <c r="K118" s="113"/>
      <c r="L118" s="113"/>
    </row>
    <row r="119" spans="10:12" ht="12.75">
      <c r="J119" s="113"/>
      <c r="K119" s="113"/>
      <c r="L119" s="113"/>
    </row>
    <row r="120" spans="10:12" ht="12.75">
      <c r="J120" s="113"/>
      <c r="K120" s="113"/>
      <c r="L120" s="113"/>
    </row>
    <row r="121" spans="10:12" ht="12.75">
      <c r="J121" s="113"/>
      <c r="K121" s="113"/>
      <c r="L121" s="113"/>
    </row>
    <row r="122" spans="10:12" ht="12.75">
      <c r="J122" s="113"/>
      <c r="K122" s="113"/>
      <c r="L122" s="113"/>
    </row>
    <row r="123" spans="10:12" ht="12.75">
      <c r="J123" s="113"/>
      <c r="K123" s="113"/>
      <c r="L123" s="113"/>
    </row>
    <row r="124" spans="10:12" ht="12.75">
      <c r="J124" s="113"/>
      <c r="K124" s="113"/>
      <c r="L124" s="113"/>
    </row>
    <row r="125" spans="10:12" ht="12.75">
      <c r="J125" s="113"/>
      <c r="K125" s="113"/>
      <c r="L125" s="113"/>
    </row>
    <row r="126" spans="10:12" ht="12.75">
      <c r="J126" s="113"/>
      <c r="K126" s="113"/>
      <c r="L126" s="113"/>
    </row>
    <row r="127" spans="10:12" ht="12.75">
      <c r="J127" s="113"/>
      <c r="K127" s="113"/>
      <c r="L127" s="113"/>
    </row>
    <row r="128" spans="10:12" ht="12.75">
      <c r="J128" s="113"/>
      <c r="K128" s="113"/>
      <c r="L128" s="113"/>
    </row>
    <row r="129" spans="10:12" ht="12.75">
      <c r="J129" s="113"/>
      <c r="K129" s="113"/>
      <c r="L129" s="113"/>
    </row>
    <row r="130" spans="10:12" ht="12.75">
      <c r="J130" s="113"/>
      <c r="K130" s="113"/>
      <c r="L130" s="113"/>
    </row>
    <row r="131" spans="10:12" ht="12.75">
      <c r="J131" s="113"/>
      <c r="K131" s="113"/>
      <c r="L131" s="113"/>
    </row>
    <row r="132" spans="10:12" ht="12.75">
      <c r="J132" s="113"/>
      <c r="K132" s="113"/>
      <c r="L132" s="113"/>
    </row>
    <row r="133" spans="10:12" ht="12.75">
      <c r="J133" s="113"/>
      <c r="K133" s="113"/>
      <c r="L133" s="113"/>
    </row>
    <row r="134" spans="10:12" ht="12.75">
      <c r="J134" s="113"/>
      <c r="K134" s="113"/>
      <c r="L134" s="113"/>
    </row>
    <row r="135" spans="10:12" ht="12.75">
      <c r="J135" s="113"/>
      <c r="K135" s="113"/>
      <c r="L135" s="113"/>
    </row>
    <row r="136" spans="10:12" ht="12.75">
      <c r="J136" s="113"/>
      <c r="K136" s="113"/>
      <c r="L136" s="113"/>
    </row>
    <row r="137" spans="10:12" ht="12.75">
      <c r="J137" s="113"/>
      <c r="K137" s="113"/>
      <c r="L137" s="113"/>
    </row>
    <row r="138" spans="10:12" ht="12.75">
      <c r="J138" s="113"/>
      <c r="K138" s="113"/>
      <c r="L138" s="113"/>
    </row>
    <row r="139" spans="10:12" ht="12.75">
      <c r="J139" s="113"/>
      <c r="K139" s="113"/>
      <c r="L139" s="113"/>
    </row>
    <row r="140" spans="10:12" ht="12.75">
      <c r="J140" s="113"/>
      <c r="K140" s="113"/>
      <c r="L140" s="113"/>
    </row>
    <row r="141" spans="10:12" ht="12.75">
      <c r="J141" s="113"/>
      <c r="K141" s="113"/>
      <c r="L141" s="113"/>
    </row>
    <row r="142" spans="10:12" ht="12.75">
      <c r="J142" s="113"/>
      <c r="K142" s="113"/>
      <c r="L142" s="113"/>
    </row>
    <row r="143" spans="10:12" ht="12.75">
      <c r="J143" s="113"/>
      <c r="K143" s="113"/>
      <c r="L143" s="113"/>
    </row>
    <row r="144" spans="10:12" ht="12.75">
      <c r="J144" s="113"/>
      <c r="K144" s="113"/>
      <c r="L144" s="113"/>
    </row>
    <row r="145" spans="10:12" ht="12.75">
      <c r="J145" s="113"/>
      <c r="K145" s="113"/>
      <c r="L145" s="113"/>
    </row>
  </sheetData>
  <sheetProtection selectLockedCells="1" selectUnlockedCells="1"/>
  <mergeCells count="5">
    <mergeCell ref="E2:F2"/>
    <mergeCell ref="G2:H2"/>
    <mergeCell ref="E9:F9"/>
    <mergeCell ref="E22:F22"/>
    <mergeCell ref="E47:F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O'Loughlin</dc:creator>
  <cp:keywords/>
  <dc:description/>
  <cp:lastModifiedBy/>
  <cp:lastPrinted>2010-06-11T18:34:05Z</cp:lastPrinted>
  <dcterms:created xsi:type="dcterms:W3CDTF">2010-04-19T17:22:29Z</dcterms:created>
  <dcterms:modified xsi:type="dcterms:W3CDTF">2012-06-16T18:06:22Z</dcterms:modified>
  <cp:category/>
  <cp:version/>
  <cp:contentType/>
  <cp:contentStatus/>
  <cp:revision>1</cp:revision>
</cp:coreProperties>
</file>