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KTY_WAS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<sst xmlns="http://schemas.openxmlformats.org/spreadsheetml/2006/main" count="52" uniqueCount="48">
  <si>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Spannung</t>
  </si>
  <si>
    <t>Kal-Temp 1</t>
  </si>
  <si>
    <t>R-T1</t>
  </si>
  <si>
    <t>Teiler-T1</t>
  </si>
  <si>
    <t>Kal-Temp 2</t>
  </si>
  <si>
    <t>R-T2</t>
  </si>
  <si>
    <t>Teiler-T2</t>
  </si>
  <si>
    <t>Kal-T-Mitte</t>
  </si>
  <si>
    <t>R-T-Mitte</t>
  </si>
  <si>
    <t>T-Schritt</t>
  </si>
  <si>
    <t>Teiler/K</t>
  </si>
  <si>
    <t>T-Bezug</t>
  </si>
  <si>
    <t>Temperatur</t>
  </si>
  <si>
    <t>R-Temp</t>
  </si>
  <si>
    <t>Teiler</t>
  </si>
  <si>
    <t>Lin-Teiler</t>
  </si>
  <si>
    <t>Fehl-Temp</t>
  </si>
  <si>
    <t>T-Fehl-max</t>
  </si>
  <si>
    <t>T-Fehl-min</t>
  </si>
  <si>
    <t>Parameter gewählt</t>
  </si>
  <si>
    <t>Hilfsgrößen</t>
  </si>
  <si>
    <t>Berechnung</t>
  </si>
  <si>
    <t>Tabellenparameter</t>
  </si>
  <si>
    <t>Tabellenhilfsgrößen</t>
  </si>
  <si>
    <r>
      <t>R</t>
    </r>
    <r>
      <rPr>
        <sz val="8"/>
        <rFont val="Arial"/>
        <family val="2"/>
      </rPr>
      <t>kty</t>
    </r>
  </si>
  <si>
    <r>
      <rPr>
        <sz val="10"/>
        <rFont val="Arial"/>
        <family val="2"/>
      </rPr>
      <t>Ω</t>
    </r>
    <r>
      <rPr>
        <sz val="10"/>
        <rFont val="Sans Serif 12cpi"/>
        <family val="0"/>
      </rPr>
      <t>/K</t>
    </r>
  </si>
  <si>
    <t>mV/K</t>
  </si>
  <si>
    <t>Vorwiderstand Rv optimal</t>
  </si>
  <si>
    <t>Ω</t>
  </si>
  <si>
    <t>KTY-Linearisierung</t>
  </si>
  <si>
    <t>Vorwiderstandsberechnung und Fehlerbestimmung</t>
  </si>
  <si>
    <t>gemessen</t>
  </si>
  <si>
    <t>A=</t>
  </si>
  <si>
    <t>B=</t>
  </si>
  <si>
    <t>C=</t>
  </si>
  <si>
    <t>°C</t>
  </si>
  <si>
    <t>V</t>
  </si>
  <si>
    <t>Strom@T1</t>
  </si>
  <si>
    <t>mA</t>
  </si>
  <si>
    <t>Steigung</t>
  </si>
  <si>
    <t>Rth</t>
  </si>
  <si>
    <t>Eigenerwärung</t>
  </si>
  <si>
    <t>K/mW</t>
  </si>
  <si>
    <t>Ukty</t>
  </si>
  <si>
    <t>Vorwiderstand Rv gewählt</t>
  </si>
  <si>
    <t>KTY84-Parameter</t>
  </si>
  <si>
    <t>KTY84-130</t>
  </si>
  <si>
    <t>KTY84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</si>
</sst>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"/>
    <numFmt numFmtId="175" formatCode="0.000000"/>
    <numFmt numFmtId="176" formatCode="0.00000000"/>
    <numFmt numFmtId="177" formatCode="0.0000000"/>
    <numFmt numFmtId="178" formatCode="0.000"/>
  </numFmts>
  <fonts count="49">
    <font>
      <sz val="10"/>
      <name val="Roman 12cpi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Sans Serif 12cpi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4" fontId="7" fillId="0" borderId="11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Linearisierung durch Rv</a:t>
            </a:r>
          </a:p>
        </c:rich>
      </c:tx>
      <c:layout>
        <c:manualLayout>
          <c:xMode val="factor"/>
          <c:yMode val="factor"/>
          <c:x val="-0.005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485"/>
          <c:w val="0.980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KTY_WAS!$B$44</c:f>
              <c:strCache>
                <c:ptCount val="1"/>
                <c:pt idx="0">
                  <c:v>R-Temp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KTY_WAS!$A$45:$A$74</c:f>
              <c:numCache/>
            </c:numRef>
          </c:xVal>
          <c:yVal>
            <c:numRef>
              <c:f>KTY_WAS!$B$45:$B$74</c:f>
              <c:numCache/>
            </c:numRef>
          </c:yVal>
          <c:smooth val="1"/>
        </c:ser>
        <c:axId val="24613856"/>
        <c:axId val="20198113"/>
      </c:scatterChart>
      <c:scatterChart>
        <c:scatterStyle val="smoothMarker"/>
        <c:varyColors val="0"/>
        <c:ser>
          <c:idx val="1"/>
          <c:order val="1"/>
          <c:tx>
            <c:strRef>
              <c:f>KTY_WAS!$F$44</c:f>
              <c:strCache>
                <c:ptCount val="1"/>
                <c:pt idx="0">
                  <c:v>Fehl-Temp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KTY_WAS!$A$45:$A$74</c:f>
              <c:numCache/>
            </c:numRef>
          </c:xVal>
          <c:yVal>
            <c:numRef>
              <c:f>KTY_WAS!$F$45:$F$74</c:f>
              <c:numCache/>
            </c:numRef>
          </c:yVal>
          <c:smooth val="1"/>
        </c:ser>
        <c:axId val="47565290"/>
        <c:axId val="25434427"/>
      </c:scatterChart>
      <c:valAx>
        <c:axId val="24613856"/>
        <c:scaling>
          <c:orientation val="minMax"/>
          <c:max val="1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Temp[°C]</a:t>
                </a:r>
              </a:p>
            </c:rich>
          </c:tx>
          <c:layout>
            <c:manualLayout>
              <c:xMode val="factor"/>
              <c:yMode val="factor"/>
              <c:x val="0.0365"/>
              <c:y val="0.1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8113"/>
        <c:crosses val="autoZero"/>
        <c:crossBetween val="midCat"/>
        <c:dispUnits/>
        <c:majorUnit val="10"/>
      </c:valAx>
      <c:valAx>
        <c:axId val="20198113"/>
        <c:scaling>
          <c:orientation val="minMax"/>
          <c:max val="12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R-KTY 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0.029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3856"/>
        <c:crossesAt val="-20"/>
        <c:crossBetween val="midCat"/>
        <c:dispUnits/>
        <c:majorUnit val="100"/>
      </c:valAx>
      <c:valAx>
        <c:axId val="47565290"/>
        <c:scaling>
          <c:orientation val="minMax"/>
        </c:scaling>
        <c:axPos val="b"/>
        <c:delete val="1"/>
        <c:majorTickMark val="out"/>
        <c:minorTickMark val="none"/>
        <c:tickLblPos val="none"/>
        <c:crossAx val="25434427"/>
        <c:crosses val="max"/>
        <c:crossBetween val="midCat"/>
        <c:dispUnits/>
      </c:valAx>
      <c:valAx>
        <c:axId val="25434427"/>
        <c:scaling>
          <c:orientation val="minMax"/>
          <c:max val="0.8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Fehl [°C]</a:t>
                </a:r>
              </a:p>
            </c:rich>
          </c:tx>
          <c:layout>
            <c:manualLayout>
              <c:xMode val="factor"/>
              <c:yMode val="factor"/>
              <c:x val="0.029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5290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5"/>
          <c:y val="0.0915"/>
          <c:w val="0.642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7</xdr:col>
      <xdr:colOff>314325</xdr:colOff>
      <xdr:row>41</xdr:row>
      <xdr:rowOff>85725</xdr:rowOff>
    </xdr:to>
    <xdr:graphicFrame>
      <xdr:nvGraphicFramePr>
        <xdr:cNvPr id="1" name="Diagramm 1"/>
        <xdr:cNvGraphicFramePr/>
      </xdr:nvGraphicFramePr>
      <xdr:xfrm>
        <a:off x="66675" y="3190875"/>
        <a:ext cx="59055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B10" sqref="B10"/>
    </sheetView>
  </sheetViews>
  <sheetFormatPr defaultColWidth="11.00390625" defaultRowHeight="12.75"/>
  <cols>
    <col min="1" max="2" width="11.00390625" style="1" customWidth="1"/>
    <col min="3" max="6" width="10.00390625" style="1" customWidth="1"/>
    <col min="7" max="7" width="12.25390625" style="1" customWidth="1"/>
    <col min="8" max="255" width="11.875" style="1" customWidth="1"/>
    <col min="256" max="16384" width="11.375" style="1" customWidth="1"/>
  </cols>
  <sheetData>
    <row r="1" spans="1:7" ht="23.25">
      <c r="A1" s="14" t="s">
        <v>29</v>
      </c>
      <c r="B1" s="3"/>
      <c r="D1" s="10"/>
      <c r="E1" s="10" t="s">
        <v>47</v>
      </c>
      <c r="F1" s="3"/>
      <c r="G1" s="3"/>
    </row>
    <row r="2" spans="1:11" ht="15.75">
      <c r="A2" s="13" t="s">
        <v>30</v>
      </c>
      <c r="D2" s="3"/>
      <c r="E2" s="3"/>
      <c r="F2" s="3"/>
      <c r="G2" s="3"/>
      <c r="K2" s="3"/>
    </row>
    <row r="3" spans="1:8" ht="12.75">
      <c r="A3" s="10" t="s">
        <v>19</v>
      </c>
      <c r="D3" s="3"/>
      <c r="E3" s="3"/>
      <c r="F3" s="3"/>
      <c r="G3" s="3"/>
      <c r="H3" s="11"/>
    </row>
    <row r="4" spans="1:8" ht="12.75">
      <c r="A4" s="3" t="s">
        <v>0</v>
      </c>
      <c r="B4" s="3">
        <v>5</v>
      </c>
      <c r="C4" s="1" t="s">
        <v>36</v>
      </c>
      <c r="E4" s="12"/>
      <c r="H4" s="3"/>
    </row>
    <row r="5" spans="1:7" ht="12.75">
      <c r="A5" s="3" t="s">
        <v>1</v>
      </c>
      <c r="B5" s="3">
        <v>0</v>
      </c>
      <c r="C5" s="11" t="s">
        <v>4</v>
      </c>
      <c r="D5" s="3">
        <v>100</v>
      </c>
      <c r="E5" s="1" t="s">
        <v>35</v>
      </c>
      <c r="F5" s="3"/>
      <c r="G5" s="3"/>
    </row>
    <row r="6" spans="1:7" ht="12.75">
      <c r="A6" s="10" t="s">
        <v>45</v>
      </c>
      <c r="B6" s="3"/>
      <c r="C6" s="3" t="s">
        <v>46</v>
      </c>
      <c r="D6" s="3"/>
      <c r="F6" s="3"/>
      <c r="G6" s="3"/>
    </row>
    <row r="7" spans="1:7" ht="12.75">
      <c r="A7" s="11" t="s">
        <v>24</v>
      </c>
      <c r="B7" s="3">
        <v>1000</v>
      </c>
      <c r="C7" s="3" t="s">
        <v>31</v>
      </c>
      <c r="D7" s="11" t="s">
        <v>11</v>
      </c>
      <c r="E7" s="3">
        <v>100</v>
      </c>
      <c r="F7" s="1" t="s">
        <v>35</v>
      </c>
      <c r="G7" s="3"/>
    </row>
    <row r="8" spans="1:7" ht="12.75">
      <c r="A8" s="11" t="s">
        <v>32</v>
      </c>
      <c r="B8" s="3">
        <v>0.00612</v>
      </c>
      <c r="C8" s="11" t="s">
        <v>33</v>
      </c>
      <c r="D8" s="3">
        <v>1.1E-05</v>
      </c>
      <c r="E8" s="11" t="s">
        <v>34</v>
      </c>
      <c r="F8" s="1">
        <v>3.14E-08</v>
      </c>
      <c r="G8" s="3"/>
    </row>
    <row r="9" spans="1:7" ht="12.75">
      <c r="A9" s="11" t="s">
        <v>40</v>
      </c>
      <c r="B9" s="3">
        <v>0.35</v>
      </c>
      <c r="C9" s="11" t="s">
        <v>42</v>
      </c>
      <c r="D9" s="3"/>
      <c r="E9" s="11"/>
      <c r="G9" s="3"/>
    </row>
    <row r="10" spans="1:7" ht="12.75">
      <c r="A10" s="10" t="s">
        <v>20</v>
      </c>
      <c r="B10" s="3"/>
      <c r="C10" s="11"/>
      <c r="D10" s="3"/>
      <c r="E10" s="3"/>
      <c r="F10" s="3"/>
      <c r="G10" s="3"/>
    </row>
    <row r="11" spans="1:7" ht="12.75">
      <c r="A11" s="3" t="s">
        <v>2</v>
      </c>
      <c r="B11" s="6">
        <f>$B$7*(1+$B$8*(B5-E7)+(B5-E7)*(B5-E7)*$D$8)</f>
        <v>498</v>
      </c>
      <c r="C11" s="11" t="s">
        <v>5</v>
      </c>
      <c r="D11" s="6">
        <f>$B$7*(1+$B$8*(D5-E7)+(D5-E7)*(D5-E7)*$D$8)</f>
        <v>1000</v>
      </c>
      <c r="E11" s="2">
        <f>(D11-B11)/(D5-B5)</f>
        <v>5.02</v>
      </c>
      <c r="F11" s="1" t="s">
        <v>25</v>
      </c>
      <c r="G11" s="3"/>
    </row>
    <row r="12" spans="1:7" ht="12.75">
      <c r="A12" s="3" t="s">
        <v>7</v>
      </c>
      <c r="B12" s="3">
        <f>(B5+D5)/2</f>
        <v>50</v>
      </c>
      <c r="C12" s="11" t="s">
        <v>8</v>
      </c>
      <c r="D12" s="6">
        <f>$B$7*(1+$B$8*(B12-E7)+(B12-E7)*(B12-E7)*$D$8)</f>
        <v>721.4999999999999</v>
      </c>
      <c r="G12" s="3"/>
    </row>
    <row r="13" ht="13.5" thickBot="1">
      <c r="A13" s="10" t="s">
        <v>21</v>
      </c>
    </row>
    <row r="14" spans="1:4" ht="13.5" thickBot="1">
      <c r="A14" s="3" t="s">
        <v>27</v>
      </c>
      <c r="B14" s="5"/>
      <c r="C14" s="15">
        <f>(D12*(B11+D11)-2*B11*D11)/(B11+D11-2*D12)</f>
        <v>1541.945454545444</v>
      </c>
      <c r="D14" s="10" t="s">
        <v>28</v>
      </c>
    </row>
    <row r="15" spans="1:7" ht="12.75">
      <c r="A15" s="3" t="s">
        <v>44</v>
      </c>
      <c r="B15" s="4"/>
      <c r="C15" s="6">
        <v>1600</v>
      </c>
      <c r="D15" s="3" t="s">
        <v>28</v>
      </c>
      <c r="E15" s="1" t="s">
        <v>39</v>
      </c>
      <c r="F15" s="12">
        <f>B4*(D12/(C15+D12)-(D12-E11)/(C15+D12-E11))*1000</f>
        <v>7.4678650477644215</v>
      </c>
      <c r="G15" s="1" t="s">
        <v>26</v>
      </c>
    </row>
    <row r="16" spans="1:7" ht="12.75">
      <c r="A16" s="1" t="s">
        <v>37</v>
      </c>
      <c r="B16" s="12">
        <f>B4/(B11+C15)*1000</f>
        <v>2.3832221163012393</v>
      </c>
      <c r="C16" s="1" t="s">
        <v>38</v>
      </c>
      <c r="E16" s="11" t="s">
        <v>41</v>
      </c>
      <c r="F16" s="12">
        <f>B11*B16*B16*B9/1000</f>
        <v>0.9899800163758484</v>
      </c>
      <c r="G16" s="1" t="s">
        <v>35</v>
      </c>
    </row>
    <row r="17" spans="1:7" ht="12.75">
      <c r="A17" s="10" t="s">
        <v>23</v>
      </c>
      <c r="B17" s="3"/>
      <c r="C17" s="3"/>
      <c r="D17" s="3"/>
      <c r="E17" s="3"/>
      <c r="F17" s="3"/>
      <c r="G17" s="3"/>
    </row>
    <row r="18" spans="1:7" ht="12.75">
      <c r="A18" s="3" t="s">
        <v>3</v>
      </c>
      <c r="B18" s="7">
        <f>B11/(B11+C15)</f>
        <v>0.23736892278360344</v>
      </c>
      <c r="C18" s="11" t="s">
        <v>6</v>
      </c>
      <c r="D18" s="7">
        <f>D11/(D11+C15)</f>
        <v>0.38461538461538464</v>
      </c>
      <c r="E18" s="11" t="s">
        <v>10</v>
      </c>
      <c r="F18" s="8">
        <f>(D18-B18)/(D5-B5)</f>
        <v>0.001472464618317812</v>
      </c>
      <c r="G18" s="3"/>
    </row>
    <row r="19" ht="12.75">
      <c r="G19" s="3"/>
    </row>
    <row r="20" ht="12.75">
      <c r="G20" s="7"/>
    </row>
    <row r="21" spans="1:7" ht="12.75">
      <c r="A21" s="3"/>
      <c r="B21" s="7"/>
      <c r="C21" s="11"/>
      <c r="D21" s="7"/>
      <c r="E21" s="11"/>
      <c r="F21" s="8"/>
      <c r="G21" s="7"/>
    </row>
    <row r="22" spans="1:7" ht="12.75">
      <c r="A22" s="3"/>
      <c r="B22" s="7"/>
      <c r="C22" s="11"/>
      <c r="D22" s="7"/>
      <c r="E22" s="11"/>
      <c r="F22" s="8"/>
      <c r="G22" s="7"/>
    </row>
    <row r="23" spans="1:7" ht="12.75">
      <c r="A23" s="3"/>
      <c r="B23" s="7"/>
      <c r="C23" s="11"/>
      <c r="D23" s="7"/>
      <c r="E23" s="11"/>
      <c r="F23" s="8"/>
      <c r="G23" s="7"/>
    </row>
    <row r="24" spans="1:7" ht="12.75">
      <c r="A24" s="3"/>
      <c r="B24" s="7"/>
      <c r="C24" s="11"/>
      <c r="D24" s="7"/>
      <c r="E24" s="11"/>
      <c r="F24" s="8"/>
      <c r="G24" s="7"/>
    </row>
    <row r="25" spans="1:7" ht="12.75">
      <c r="A25" s="3"/>
      <c r="B25" s="7"/>
      <c r="C25" s="11"/>
      <c r="D25" s="7"/>
      <c r="E25" s="11"/>
      <c r="F25" s="8"/>
      <c r="G25" s="7"/>
    </row>
    <row r="26" spans="1:7" ht="12.75">
      <c r="A26" s="3"/>
      <c r="B26" s="7"/>
      <c r="C26" s="11"/>
      <c r="D26" s="7"/>
      <c r="E26" s="11"/>
      <c r="F26" s="8"/>
      <c r="G26" s="7"/>
    </row>
    <row r="27" spans="1:7" ht="12.75">
      <c r="A27" s="3"/>
      <c r="B27" s="7"/>
      <c r="C27" s="11"/>
      <c r="D27" s="7"/>
      <c r="E27" s="11"/>
      <c r="F27" s="8"/>
      <c r="G27" s="7"/>
    </row>
    <row r="28" spans="1:7" ht="12.75">
      <c r="A28" s="3"/>
      <c r="B28" s="7"/>
      <c r="C28" s="11"/>
      <c r="D28" s="7"/>
      <c r="E28" s="11"/>
      <c r="F28" s="8"/>
      <c r="G28" s="7"/>
    </row>
    <row r="29" spans="1:7" ht="12.75">
      <c r="A29" s="3"/>
      <c r="B29" s="7"/>
      <c r="C29" s="11"/>
      <c r="D29" s="7"/>
      <c r="E29" s="11"/>
      <c r="F29" s="8"/>
      <c r="G29" s="7"/>
    </row>
    <row r="30" spans="1:7" ht="12.75">
      <c r="A30" s="3"/>
      <c r="B30" s="7"/>
      <c r="C30" s="11"/>
      <c r="D30" s="7"/>
      <c r="E30" s="11"/>
      <c r="F30" s="8"/>
      <c r="G30" s="7"/>
    </row>
    <row r="31" spans="1:7" ht="12.75">
      <c r="A31" s="3"/>
      <c r="B31" s="7"/>
      <c r="C31" s="11"/>
      <c r="D31" s="7"/>
      <c r="E31" s="11"/>
      <c r="F31" s="8"/>
      <c r="G31" s="7"/>
    </row>
    <row r="32" spans="1:7" ht="12.75">
      <c r="A32" s="3"/>
      <c r="B32" s="7"/>
      <c r="C32" s="11"/>
      <c r="D32" s="7"/>
      <c r="E32" s="11"/>
      <c r="F32" s="8"/>
      <c r="G32" s="7"/>
    </row>
    <row r="33" spans="1:7" ht="12.75">
      <c r="A33" s="3"/>
      <c r="B33" s="7"/>
      <c r="C33" s="11"/>
      <c r="D33" s="7"/>
      <c r="E33" s="11"/>
      <c r="F33" s="8"/>
      <c r="G33" s="7"/>
    </row>
    <row r="34" spans="1:7" ht="12.75">
      <c r="A34" s="3"/>
      <c r="B34" s="7"/>
      <c r="C34" s="11"/>
      <c r="D34" s="7"/>
      <c r="E34" s="11"/>
      <c r="F34" s="8"/>
      <c r="G34" s="7"/>
    </row>
    <row r="35" spans="1:7" ht="12.75">
      <c r="A35" s="3"/>
      <c r="B35" s="7"/>
      <c r="C35" s="11"/>
      <c r="D35" s="7"/>
      <c r="E35" s="11"/>
      <c r="F35" s="8"/>
      <c r="G35" s="7"/>
    </row>
    <row r="36" spans="1:7" ht="12.75">
      <c r="A36" s="3"/>
      <c r="B36" s="7"/>
      <c r="C36" s="11"/>
      <c r="D36" s="7"/>
      <c r="E36" s="11"/>
      <c r="F36" s="8"/>
      <c r="G36" s="7"/>
    </row>
    <row r="37" spans="1:7" ht="12.75">
      <c r="A37" s="3"/>
      <c r="B37" s="7"/>
      <c r="C37" s="11"/>
      <c r="D37" s="7"/>
      <c r="E37" s="11"/>
      <c r="F37" s="8"/>
      <c r="G37" s="7"/>
    </row>
    <row r="38" spans="1:7" ht="12.75">
      <c r="A38" s="3"/>
      <c r="B38" s="7"/>
      <c r="C38" s="11"/>
      <c r="D38" s="7"/>
      <c r="E38" s="11"/>
      <c r="F38" s="8"/>
      <c r="G38" s="7"/>
    </row>
    <row r="39" spans="1:7" ht="12.75">
      <c r="A39" s="3"/>
      <c r="B39" s="7"/>
      <c r="C39" s="11"/>
      <c r="D39" s="7"/>
      <c r="E39" s="11"/>
      <c r="F39" s="8"/>
      <c r="G39" s="7"/>
    </row>
    <row r="40" spans="1:7" ht="12.75">
      <c r="A40" s="3"/>
      <c r="B40" s="7"/>
      <c r="C40" s="11"/>
      <c r="D40" s="7"/>
      <c r="E40" s="11"/>
      <c r="F40" s="8"/>
      <c r="G40" s="7"/>
    </row>
    <row r="41" spans="1:7" ht="12.75">
      <c r="A41" s="3"/>
      <c r="B41" s="7"/>
      <c r="C41" s="11"/>
      <c r="D41" s="7"/>
      <c r="E41" s="11"/>
      <c r="F41" s="8"/>
      <c r="G41" s="7"/>
    </row>
    <row r="42" spans="1:7" ht="12.75">
      <c r="A42" s="3"/>
      <c r="B42" s="7"/>
      <c r="C42" s="11"/>
      <c r="D42" s="7"/>
      <c r="E42" s="11"/>
      <c r="F42" s="8"/>
      <c r="G42" s="7"/>
    </row>
    <row r="43" spans="1:7" ht="12.75">
      <c r="A43" s="10" t="s">
        <v>22</v>
      </c>
      <c r="B43" s="3"/>
      <c r="C43" s="11" t="s">
        <v>9</v>
      </c>
      <c r="D43" s="3">
        <v>5</v>
      </c>
      <c r="E43" s="1" t="s">
        <v>35</v>
      </c>
      <c r="F43" s="3"/>
      <c r="G43" s="3"/>
    </row>
    <row r="44" spans="1:7" ht="12.75">
      <c r="A44" s="9" t="s">
        <v>12</v>
      </c>
      <c r="B44" s="9" t="s">
        <v>13</v>
      </c>
      <c r="C44" s="9" t="s">
        <v>14</v>
      </c>
      <c r="D44" s="9" t="s">
        <v>43</v>
      </c>
      <c r="E44" s="9" t="s">
        <v>15</v>
      </c>
      <c r="F44" s="9" t="s">
        <v>16</v>
      </c>
      <c r="G44" s="5"/>
    </row>
    <row r="45" spans="1:7" ht="12.75">
      <c r="A45" s="3">
        <v>-5</v>
      </c>
      <c r="B45" s="6">
        <f>$B$7*(1+$B$8*(A45-$E$7)+(A45-$E$7)*(A45-$E$7)*$D$8-IF(A45&gt;100,$F$8*EXP(LN(A45-100)*3.7),0))</f>
        <v>478.67500000000007</v>
      </c>
      <c r="C45" s="7">
        <f>B45/($C$15+B45)</f>
        <v>0.23027890362851336</v>
      </c>
      <c r="D45" s="7">
        <f>C45*$B$4</f>
        <v>1.1513945181425669</v>
      </c>
      <c r="E45" s="7">
        <f>$B$18+$F$18*($A45-$B$5)</f>
        <v>0.23000659969201437</v>
      </c>
      <c r="F45" s="5">
        <f>(C45-E45)/$F$18</f>
        <v>0.18493071623688942</v>
      </c>
      <c r="G45" s="5"/>
    </row>
    <row r="46" spans="1:7" ht="12.75">
      <c r="A46" s="3">
        <v>-20</v>
      </c>
      <c r="B46" s="6">
        <f>$B$7*(1+$B$8*(A46-$E$7)+(A46-$E$7)*(A46-$E$7)*$D$8-IF(A46&gt;100,$F$8*EXP(LN(A46-100)*3.7),0))</f>
        <v>424.00000000000006</v>
      </c>
      <c r="C46" s="7">
        <f>B46/($C$15+B46)</f>
        <v>0.20948616600790518</v>
      </c>
      <c r="D46" s="7">
        <f>C46*$B$4</f>
        <v>1.0474308300395259</v>
      </c>
      <c r="E46" s="7">
        <f>$B$18+$F$18*($A46-$B$5)</f>
        <v>0.2079196304172472</v>
      </c>
      <c r="F46" s="5">
        <f>(C46-E46)/$F$18</f>
        <v>1.0638867455081076</v>
      </c>
      <c r="G46" s="5"/>
    </row>
    <row r="47" spans="1:7" ht="12.75">
      <c r="A47" s="3">
        <v>-15</v>
      </c>
      <c r="B47" s="6">
        <f>$B$7*(1+$B$8*(A47-$E$7)+(A47-$E$7)*(A47-$E$7)*$D$8-IF(A47&gt;100,$F$8*EXP(LN(A47-100)*3.7),0))</f>
        <v>441.67500000000007</v>
      </c>
      <c r="C47" s="7">
        <f>B47/($C$15+B47)</f>
        <v>0.21632972926641117</v>
      </c>
      <c r="D47" s="7">
        <f>C47*$B$4</f>
        <v>1.0816486463320558</v>
      </c>
      <c r="E47" s="7">
        <f>$B$18+$F$18*($A47-$B$5)</f>
        <v>0.21528195350883628</v>
      </c>
      <c r="F47" s="5">
        <f>(C47-E47)/$F$18</f>
        <v>0.7115795819745422</v>
      </c>
      <c r="G47" s="5"/>
    </row>
    <row r="48" spans="1:7" ht="12.75">
      <c r="A48" s="3">
        <v>-10</v>
      </c>
      <c r="B48" s="6">
        <f>$B$7*(1+$B$8*(A48-$E$7)+(A48-$E$7)*(A48-$E$7)*$D$8-IF(A48&gt;100,$F$8*EXP(LN(A48-100)*3.7),0))</f>
        <v>459.9000000000001</v>
      </c>
      <c r="C48" s="7">
        <f>B48/($C$15+B48)</f>
        <v>0.22326326520704892</v>
      </c>
      <c r="D48" s="7">
        <f>C48*$B$4</f>
        <v>1.1163163260352447</v>
      </c>
      <c r="E48" s="7">
        <f>$B$18+$F$18*($A48-$B$5)</f>
        <v>0.22264427660042532</v>
      </c>
      <c r="F48" s="5">
        <f>(C48-E48)/$F$18</f>
        <v>0.42037587791464265</v>
      </c>
      <c r="G48" s="5"/>
    </row>
    <row r="49" spans="1:7" ht="12.75">
      <c r="A49" s="3">
        <v>-5</v>
      </c>
      <c r="B49" s="6">
        <f>$B$7*(1+$B$8*(A49-$E$7)+(A49-$E$7)*(A49-$E$7)*$D$8-IF(A49&gt;100,$F$8*EXP(LN(A49-100)*3.7),0))</f>
        <v>478.67500000000007</v>
      </c>
      <c r="C49" s="7">
        <f>B49/($C$15+B49)</f>
        <v>0.23027890362851336</v>
      </c>
      <c r="D49" s="7">
        <f>C49*$B$4</f>
        <v>1.1513945181425669</v>
      </c>
      <c r="E49" s="7">
        <f>$B$18+$F$18*($A49-$B$5)</f>
        <v>0.23000659969201437</v>
      </c>
      <c r="F49" s="5">
        <f>(C49-E49)/$F$18</f>
        <v>0.18493071623688942</v>
      </c>
      <c r="G49" s="5"/>
    </row>
    <row r="50" spans="1:7" ht="12.75">
      <c r="A50" s="3">
        <v>0</v>
      </c>
      <c r="B50" s="6">
        <f aca="true" t="shared" si="0" ref="B50:B70">$B$7*(1+$B$8*(A50-$E$7)+(A50-$E$7)*(A50-$E$7)*$D$8-IF(A50&gt;100,$F$8*EXP(LN(A50-100)*3.7),0))</f>
        <v>498</v>
      </c>
      <c r="C50" s="7">
        <f aca="true" t="shared" si="1" ref="C50:C70">B50/($C$15+B50)</f>
        <v>0.23736892278360344</v>
      </c>
      <c r="D50" s="7">
        <f aca="true" t="shared" si="2" ref="D50:D70">C50*$B$4</f>
        <v>1.186844613918017</v>
      </c>
      <c r="E50" s="7">
        <f>$B$18+$F$18*($A50-$B$5)</f>
        <v>0.23736892278360344</v>
      </c>
      <c r="F50" s="5">
        <f aca="true" t="shared" si="3" ref="F50:F70">(C50-E50)/$F$18</f>
        <v>0</v>
      </c>
      <c r="G50" s="5"/>
    </row>
    <row r="51" spans="1:7" ht="12.75">
      <c r="A51" s="3">
        <f>$A50+$D$43</f>
        <v>5</v>
      </c>
      <c r="B51" s="6">
        <f t="shared" si="0"/>
        <v>517.8750000000001</v>
      </c>
      <c r="C51" s="7">
        <f t="shared" si="1"/>
        <v>0.2445257628519153</v>
      </c>
      <c r="D51" s="7">
        <f t="shared" si="2"/>
        <v>1.2226288142595765</v>
      </c>
      <c r="E51" s="7">
        <f>$B$18+$F$18*($A51-$B$5)</f>
        <v>0.24473124587519252</v>
      </c>
      <c r="F51" s="5">
        <f t="shared" si="3"/>
        <v>-0.13955039783025128</v>
      </c>
      <c r="G51" s="5"/>
    </row>
    <row r="52" spans="1:7" ht="12.75">
      <c r="A52" s="3">
        <f>$A51+$D$43</f>
        <v>10</v>
      </c>
      <c r="B52" s="6">
        <f t="shared" si="0"/>
        <v>538.3</v>
      </c>
      <c r="C52" s="7">
        <f t="shared" si="1"/>
        <v>0.2517420380676238</v>
      </c>
      <c r="D52" s="7">
        <f t="shared" si="2"/>
        <v>1.258710190338119</v>
      </c>
      <c r="E52" s="7">
        <f>$B$18+$F$18*($A52-$B$5)</f>
        <v>0.2520935689667816</v>
      </c>
      <c r="F52" s="5">
        <f t="shared" si="3"/>
        <v>-0.23873639799874585</v>
      </c>
      <c r="G52" s="5"/>
    </row>
    <row r="53" spans="1:7" ht="12.75">
      <c r="A53" s="3">
        <f>$A52+$D$43</f>
        <v>15</v>
      </c>
      <c r="B53" s="6">
        <f t="shared" si="0"/>
        <v>559.275</v>
      </c>
      <c r="C53" s="7">
        <f t="shared" si="1"/>
        <v>0.2590105475217376</v>
      </c>
      <c r="D53" s="7">
        <f t="shared" si="2"/>
        <v>1.295052737608688</v>
      </c>
      <c r="E53" s="7">
        <f>$B$18+$F$18*($A53-$B$5)</f>
        <v>0.2594558920583706</v>
      </c>
      <c r="F53" s="5">
        <f t="shared" si="3"/>
        <v>-0.3024483787880791</v>
      </c>
      <c r="G53" s="5"/>
    </row>
    <row r="54" spans="1:7" ht="12.75">
      <c r="A54" s="3">
        <f>$A53+$D$43</f>
        <v>20</v>
      </c>
      <c r="B54" s="6">
        <f t="shared" si="0"/>
        <v>580.8</v>
      </c>
      <c r="C54" s="7">
        <f t="shared" si="1"/>
        <v>0.2663242846661775</v>
      </c>
      <c r="D54" s="7">
        <f t="shared" si="2"/>
        <v>1.3316214233308876</v>
      </c>
      <c r="E54" s="7">
        <f>$B$18+$F$18*($A54-$B$5)</f>
        <v>0.2668182151499597</v>
      </c>
      <c r="F54" s="5">
        <f t="shared" si="3"/>
        <v>-0.3354447214809398</v>
      </c>
      <c r="G54" s="5"/>
    </row>
    <row r="55" spans="1:7" ht="12.75">
      <c r="A55" s="3">
        <f>$A54+$D$43</f>
        <v>25</v>
      </c>
      <c r="B55" s="6">
        <f t="shared" si="0"/>
        <v>602.875</v>
      </c>
      <c r="C55" s="7">
        <f t="shared" si="1"/>
        <v>0.2736764455541054</v>
      </c>
      <c r="D55" s="7">
        <f t="shared" si="2"/>
        <v>1.368382227770527</v>
      </c>
      <c r="E55" s="7">
        <f>$B$18+$F$18*($A55-$B$5)</f>
        <v>0.27418053824154875</v>
      </c>
      <c r="F55" s="5">
        <f t="shared" si="3"/>
        <v>-0.3423462140769309</v>
      </c>
      <c r="G55" s="5"/>
    </row>
    <row r="56" spans="1:7" ht="12.75">
      <c r="A56" s="3">
        <f>$A55+$D$43</f>
        <v>30</v>
      </c>
      <c r="B56" s="6">
        <f t="shared" si="0"/>
        <v>625.5</v>
      </c>
      <c r="C56" s="7">
        <f t="shared" si="1"/>
        <v>0.28106043585711077</v>
      </c>
      <c r="D56" s="7">
        <f t="shared" si="2"/>
        <v>1.4053021792855538</v>
      </c>
      <c r="E56" s="7">
        <f>$B$18+$F$18*($A56-$B$5)</f>
        <v>0.2815428613331378</v>
      </c>
      <c r="F56" s="5">
        <f t="shared" si="3"/>
        <v>-0.32763128568626765</v>
      </c>
      <c r="G56" s="5"/>
    </row>
    <row r="57" spans="1:7" ht="12.75">
      <c r="A57" s="3">
        <f>$A56+$D$43</f>
        <v>35</v>
      </c>
      <c r="B57" s="6">
        <f t="shared" si="0"/>
        <v>648.6750000000001</v>
      </c>
      <c r="C57" s="7">
        <f t="shared" si="1"/>
        <v>0.2884698767051708</v>
      </c>
      <c r="D57" s="7">
        <f t="shared" si="2"/>
        <v>1.442349383525854</v>
      </c>
      <c r="E57" s="7">
        <f>$B$18+$F$18*($A57-$B$5)</f>
        <v>0.28890518442472685</v>
      </c>
      <c r="F57" s="5">
        <f t="shared" si="3"/>
        <v>-0.295632040417603</v>
      </c>
      <c r="G57" s="5"/>
    </row>
    <row r="58" spans="1:7" ht="12.75">
      <c r="A58" s="3">
        <f>$A57+$D$43</f>
        <v>40</v>
      </c>
      <c r="B58" s="6">
        <f t="shared" si="0"/>
        <v>672.4</v>
      </c>
      <c r="C58" s="7">
        <f t="shared" si="1"/>
        <v>0.29589860939975354</v>
      </c>
      <c r="D58" s="7">
        <f t="shared" si="2"/>
        <v>1.4794930469987677</v>
      </c>
      <c r="E58" s="7">
        <f>$B$18+$F$18*($A58-$B$5)</f>
        <v>0.2962675075163159</v>
      </c>
      <c r="F58" s="5">
        <f t="shared" si="3"/>
        <v>-0.2505310565518495</v>
      </c>
      <c r="G58" s="5"/>
    </row>
    <row r="59" spans="1:7" ht="12.75">
      <c r="A59" s="3">
        <f>$A58+$D$43</f>
        <v>45</v>
      </c>
      <c r="B59" s="6">
        <f t="shared" si="0"/>
        <v>696.675</v>
      </c>
      <c r="C59" s="7">
        <f t="shared" si="1"/>
        <v>0.30334069905406724</v>
      </c>
      <c r="D59" s="7">
        <f t="shared" si="2"/>
        <v>1.5167034952703362</v>
      </c>
      <c r="E59" s="7">
        <f>$B$18+$F$18*($A59-$B$5)</f>
        <v>0.303629830607905</v>
      </c>
      <c r="F59" s="5">
        <f t="shared" si="3"/>
        <v>-0.19635891432696295</v>
      </c>
      <c r="G59" s="5"/>
    </row>
    <row r="60" spans="1:7" ht="12.75">
      <c r="A60" s="3">
        <f>$A59+$D$43</f>
        <v>50</v>
      </c>
      <c r="B60" s="6">
        <f t="shared" si="0"/>
        <v>721.4999999999999</v>
      </c>
      <c r="C60" s="7">
        <f t="shared" si="1"/>
        <v>0.31079043721731636</v>
      </c>
      <c r="D60" s="7">
        <f t="shared" si="2"/>
        <v>1.553952186086582</v>
      </c>
      <c r="E60" s="7">
        <f>$B$18+$F$18*($A60-$B$5)</f>
        <v>0.31099215369949407</v>
      </c>
      <c r="F60" s="5">
        <f t="shared" si="3"/>
        <v>-0.13699241371799623</v>
      </c>
      <c r="G60" s="5"/>
    </row>
    <row r="61" spans="1:7" ht="12.75">
      <c r="A61" s="3">
        <f>$A60+$D$43</f>
        <v>55</v>
      </c>
      <c r="B61" s="6">
        <f t="shared" si="0"/>
        <v>746.8750000000001</v>
      </c>
      <c r="C61" s="7">
        <f t="shared" si="1"/>
        <v>0.31824234354194414</v>
      </c>
      <c r="D61" s="7">
        <f t="shared" si="2"/>
        <v>1.5912117177097207</v>
      </c>
      <c r="E61" s="7">
        <f>$B$18+$F$18*($A61-$B$5)</f>
        <v>0.3183544767910831</v>
      </c>
      <c r="F61" s="5">
        <f t="shared" si="3"/>
        <v>-0.07615344215676324</v>
      </c>
      <c r="G61" s="5"/>
    </row>
    <row r="62" spans="1:7" ht="12.75">
      <c r="A62" s="3">
        <f>$A61+$D$43</f>
        <v>60</v>
      </c>
      <c r="B62" s="6">
        <f t="shared" si="0"/>
        <v>772.8</v>
      </c>
      <c r="C62" s="7">
        <f t="shared" si="1"/>
        <v>0.3256911665542818</v>
      </c>
      <c r="D62" s="7">
        <f t="shared" si="2"/>
        <v>1.6284558327714092</v>
      </c>
      <c r="E62" s="7">
        <f>$B$18+$F$18*($A62-$B$5)</f>
        <v>0.32571679988267216</v>
      </c>
      <c r="F62" s="5">
        <f t="shared" si="3"/>
        <v>-0.01740845115831993</v>
      </c>
      <c r="G62" s="5"/>
    </row>
    <row r="63" spans="1:7" ht="12.75">
      <c r="A63" s="3">
        <f>$A62+$D$43</f>
        <v>65</v>
      </c>
      <c r="B63" s="6">
        <f t="shared" si="0"/>
        <v>799.2750000000001</v>
      </c>
      <c r="C63" s="7">
        <f t="shared" si="1"/>
        <v>0.3331318835898345</v>
      </c>
      <c r="D63" s="7">
        <f t="shared" si="2"/>
        <v>1.6656594179491724</v>
      </c>
      <c r="E63" s="7">
        <f>$B$18+$F$18*($A63-$B$5)</f>
        <v>0.33307912297426123</v>
      </c>
      <c r="F63" s="5">
        <f t="shared" si="3"/>
        <v>0.03583149972969767</v>
      </c>
      <c r="G63" s="5"/>
    </row>
    <row r="64" spans="1:7" ht="12.75">
      <c r="A64" s="3">
        <f>$A63+$D$43</f>
        <v>70</v>
      </c>
      <c r="B64" s="6">
        <f t="shared" si="0"/>
        <v>826.3000000000001</v>
      </c>
      <c r="C64" s="7">
        <f t="shared" si="1"/>
        <v>0.3405596999546635</v>
      </c>
      <c r="D64" s="7">
        <f t="shared" si="2"/>
        <v>1.7027984997733174</v>
      </c>
      <c r="E64" s="7">
        <f>$B$18+$F$18*($A64-$B$5)</f>
        <v>0.34044144606585025</v>
      </c>
      <c r="F64" s="5">
        <f t="shared" si="3"/>
        <v>0.08031017339374485</v>
      </c>
      <c r="G64" s="5"/>
    </row>
    <row r="65" spans="1:7" ht="12.75">
      <c r="A65" s="3">
        <f>$A64+$D$43</f>
        <v>75</v>
      </c>
      <c r="B65" s="6">
        <f t="shared" si="0"/>
        <v>853.8749999999999</v>
      </c>
      <c r="C65" s="7">
        <f t="shared" si="1"/>
        <v>0.3479700473740512</v>
      </c>
      <c r="D65" s="7">
        <f t="shared" si="2"/>
        <v>1.739850236870256</v>
      </c>
      <c r="E65" s="7">
        <f>$B$18+$F$18*($A65-$B$5)</f>
        <v>0.3478037691574393</v>
      </c>
      <c r="F65" s="5">
        <f t="shared" si="3"/>
        <v>0.11292510159043449</v>
      </c>
      <c r="G65" s="5"/>
    </row>
    <row r="66" spans="1:7" ht="12.75">
      <c r="A66" s="3">
        <f>$A65+$D$43</f>
        <v>80</v>
      </c>
      <c r="B66" s="6">
        <f t="shared" si="0"/>
        <v>882</v>
      </c>
      <c r="C66" s="7">
        <f t="shared" si="1"/>
        <v>0.3553585817888799</v>
      </c>
      <c r="D66" s="7">
        <f t="shared" si="2"/>
        <v>1.7767929089443997</v>
      </c>
      <c r="E66" s="7">
        <f>$B$18+$F$18*($A66-$B$5)</f>
        <v>0.3551660922490284</v>
      </c>
      <c r="F66" s="5">
        <f t="shared" si="3"/>
        <v>0.1307260883941786</v>
      </c>
      <c r="G66" s="3"/>
    </row>
    <row r="67" spans="1:7" ht="12.75">
      <c r="A67" s="3">
        <f>$A66+$D$43</f>
        <v>85</v>
      </c>
      <c r="B67" s="6">
        <f t="shared" si="0"/>
        <v>910.6750000000001</v>
      </c>
      <c r="C67" s="7">
        <f t="shared" si="1"/>
        <v>0.36272118055901303</v>
      </c>
      <c r="D67" s="7">
        <f t="shared" si="2"/>
        <v>1.8136059027950653</v>
      </c>
      <c r="E67" s="7">
        <f>$B$18+$F$18*($A67-$B$5)</f>
        <v>0.36252841534061747</v>
      </c>
      <c r="F67" s="5">
        <f t="shared" si="3"/>
        <v>0.1309133109193373</v>
      </c>
      <c r="G67" s="3"/>
    </row>
    <row r="68" spans="1:7" ht="12.75">
      <c r="A68" s="3">
        <f>$A67+$D$43</f>
        <v>90</v>
      </c>
      <c r="B68" s="6">
        <f t="shared" si="0"/>
        <v>939.9</v>
      </c>
      <c r="C68" s="7">
        <f t="shared" si="1"/>
        <v>0.37005393913146184</v>
      </c>
      <c r="D68" s="7">
        <f t="shared" si="2"/>
        <v>1.8502696956573093</v>
      </c>
      <c r="E68" s="7">
        <f>$B$18+$F$18*($A68-$B$5)</f>
        <v>0.36989073843220655</v>
      </c>
      <c r="F68" s="5">
        <f t="shared" si="3"/>
        <v>0.11083505656097882</v>
      </c>
      <c r="G68" s="3"/>
    </row>
    <row r="69" spans="1:6" ht="12.75">
      <c r="A69" s="3">
        <f>$A68+$D$43</f>
        <v>95</v>
      </c>
      <c r="B69" s="6">
        <f t="shared" si="0"/>
        <v>969.6750000000001</v>
      </c>
      <c r="C69" s="7">
        <f t="shared" si="1"/>
        <v>0.3773531672293189</v>
      </c>
      <c r="D69" s="7">
        <f t="shared" si="2"/>
        <v>1.8867658361465944</v>
      </c>
      <c r="E69" s="7">
        <f>$B$18+$F$18*($A69-$B$5)</f>
        <v>0.37725306152379556</v>
      </c>
      <c r="F69" s="5">
        <f t="shared" si="3"/>
        <v>0.06798513477199011</v>
      </c>
    </row>
    <row r="70" spans="1:6" ht="12.75">
      <c r="A70" s="3">
        <f>$A69+$D$43</f>
        <v>100</v>
      </c>
      <c r="B70" s="6">
        <f t="shared" si="0"/>
        <v>1000</v>
      </c>
      <c r="C70" s="7">
        <f t="shared" si="1"/>
        <v>0.38461538461538464</v>
      </c>
      <c r="D70" s="7">
        <f t="shared" si="2"/>
        <v>1.9230769230769231</v>
      </c>
      <c r="E70" s="7">
        <f>$B$18+$F$18*($A70-$B$5)</f>
        <v>0.38461538461538464</v>
      </c>
      <c r="F70" s="5">
        <f t="shared" si="3"/>
        <v>0</v>
      </c>
    </row>
    <row r="71" spans="1:6" ht="12.75">
      <c r="A71" s="3">
        <f>$A70+$D$43</f>
        <v>105</v>
      </c>
      <c r="B71" s="6">
        <f>$B$7*(1+$B$8*(A71-$E$7)+(A71-$E$7)*(A71-$E$7)*$D$8-IF(A71&gt;100,$F$8*EXP(LN(A71-100)*3.7),0))</f>
        <v>1030.862890710444</v>
      </c>
      <c r="C71" s="7">
        <f>B71/($C$15+B71)</f>
        <v>0.3918345172416292</v>
      </c>
      <c r="D71" s="7">
        <f>C71*$B$4</f>
        <v>1.9591725862081462</v>
      </c>
      <c r="E71" s="7">
        <f>$B$18+$F$18*($A71-$B$5)</f>
        <v>0.3919777077069737</v>
      </c>
      <c r="F71" s="5">
        <f>(C71-E71)/$F$18</f>
        <v>-0.09724543704695976</v>
      </c>
    </row>
    <row r="72" spans="1:6" ht="12.75">
      <c r="A72" s="3">
        <f>$A71+$D$43</f>
        <v>110</v>
      </c>
      <c r="B72" s="6">
        <f>$B$7*(1+$B$8*(A72-$E$7)+(A72-$E$7)*(A72-$E$7)*$D$8-IF(A72&gt;100,$F$8*EXP(LN(A72-100)*3.7),0))</f>
        <v>1062.1426272086412</v>
      </c>
      <c r="C72" s="7">
        <f>B72/($C$15+B72)</f>
        <v>0.3989803612897851</v>
      </c>
      <c r="D72" s="7">
        <f>C72*$B$4</f>
        <v>1.9949018064489255</v>
      </c>
      <c r="E72" s="7">
        <f>$B$18+$F$18*($A72-$B$5)</f>
        <v>0.39934003079856273</v>
      </c>
      <c r="F72" s="5">
        <f>(C72-E72)/$F$18</f>
        <v>-0.24426360015939488</v>
      </c>
    </row>
    <row r="73" spans="1:6" ht="12.75">
      <c r="A73" s="3">
        <f>$A72+$D$43</f>
        <v>115</v>
      </c>
      <c r="B73" s="6">
        <f>$B$7*(1+$B$8*(A73-$E$7)+(A73-$E$7)*(A73-$E$7)*$D$8-IF(A73&gt;100,$F$8*EXP(LN(A73-100)*3.7),0))</f>
        <v>1093.56954826392</v>
      </c>
      <c r="C73" s="7">
        <f>B73/($C$15+B73)</f>
        <v>0.4059926906170868</v>
      </c>
      <c r="D73" s="7">
        <f>C73*$B$4</f>
        <v>2.029963453085434</v>
      </c>
      <c r="E73" s="7">
        <f>$B$18+$F$18*($A73-$B$5)</f>
        <v>0.40670235389015186</v>
      </c>
      <c r="F73" s="5">
        <f>(C73-E73)/$F$18</f>
        <v>-0.4819560784256961</v>
      </c>
    </row>
    <row r="74" spans="1:6" ht="12.75">
      <c r="A74" s="3">
        <f>$A73+$D$43</f>
        <v>120</v>
      </c>
      <c r="B74" s="6">
        <f>$B$7*(1+$B$8*(A74-$E$7)+(A74-$E$7)*(A74-$E$7)*$D$8-IF(A74&gt;100,$F$8*EXP(LN(A74-100)*3.7),0))</f>
        <v>1124.7547771695586</v>
      </c>
      <c r="C74" s="7">
        <f>B74/($C$15+B74)</f>
        <v>0.41279119375943985</v>
      </c>
      <c r="D74" s="7">
        <f>C74*$B$4</f>
        <v>2.0639559687971993</v>
      </c>
      <c r="E74" s="7">
        <f>$B$18+$F$18*($A74-$B$5)</f>
        <v>0.4140646769817409</v>
      </c>
      <c r="F74" s="5">
        <f>(C74-E74)/$F$18</f>
        <v>-0.864865074826651</v>
      </c>
    </row>
    <row r="75" spans="5:6" ht="12.75">
      <c r="E75" s="3" t="s">
        <v>17</v>
      </c>
      <c r="F75" s="5">
        <f>MAX(F45:F74)</f>
        <v>1.0638867455081076</v>
      </c>
    </row>
    <row r="76" spans="5:6" ht="12.75">
      <c r="E76" s="3" t="s">
        <v>18</v>
      </c>
      <c r="F76" s="5">
        <f>MIN(F45:F74)</f>
        <v>-0.864865074826651</v>
      </c>
    </row>
  </sheetData>
  <sheetProtection/>
  <printOptions gridLines="1"/>
  <pageMargins left="1.1811023622047245" right="0" top="0.7874015748031497" bottom="0.3937007874015748" header="0.4921259845" footer="0.4921259845"/>
  <pageSetup horizontalDpi="240" verticalDpi="24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Hermann</cp:lastModifiedBy>
  <cp:lastPrinted>2003-10-02T20:30:32Z</cp:lastPrinted>
  <dcterms:created xsi:type="dcterms:W3CDTF">2003-10-01T19:27:48Z</dcterms:created>
  <dcterms:modified xsi:type="dcterms:W3CDTF">2015-01-20T12:18:47Z</dcterms:modified>
  <cp:category/>
  <cp:version/>
  <cp:contentType/>
  <cp:contentStatus/>
</cp:coreProperties>
</file>